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2"/>
  </bookViews>
  <sheets>
    <sheet name="04" sheetId="1" r:id="rId1"/>
    <sheet name="05" sheetId="2" r:id="rId2"/>
    <sheet name="PLChuaDieuKien" sheetId="3" r:id="rId3"/>
  </sheets>
  <externalReferences>
    <externalReference r:id="rId6"/>
    <externalReference r:id="rId7"/>
  </externalReferences>
  <definedNames>
    <definedName name="_xlnm.Print_Area" localSheetId="0">'04'!$A$1:$U$53</definedName>
    <definedName name="_xlnm.Print_Area" localSheetId="1">'05'!$A$1:$U$53</definedName>
    <definedName name="_xlnm.Print_Area" localSheetId="2">'PLChuaDieuKien'!$A$1:$J$33</definedName>
    <definedName name="_xlnm.Print_Titles" localSheetId="2">'PLChuaDieuKien'!$4:$5</definedName>
  </definedNames>
  <calcPr fullCalcOnLoad="1"/>
</workbook>
</file>

<file path=xl/sharedStrings.xml><?xml version="1.0" encoding="utf-8"?>
<sst xmlns="http://schemas.openxmlformats.org/spreadsheetml/2006/main" count="256" uniqueCount="121">
  <si>
    <t xml:space="preserve">Biểu số: 04/TK-THA
Ban hành theo TT số: 06/2019/TT-BTP
ngày 21 tháng 11 năm 2019
Ngày nhận báo cáo: </t>
  </si>
  <si>
    <t>Đơn vị tính: Bản án, quyết định, việc và %</t>
  </si>
  <si>
    <t>STT</t>
  </si>
  <si>
    <t>Tên chỉ tiêu</t>
  </si>
  <si>
    <t>Tổng số  bản án, quyết định đã nhận</t>
  </si>
  <si>
    <t>Tổng số giải quyết</t>
  </si>
  <si>
    <t>Chia ra:</t>
  </si>
  <si>
    <t>Ủy thác thi hành án</t>
  </si>
  <si>
    <t>Thu hồi, hủy quyết định THA</t>
  </si>
  <si>
    <t>Tổng số phải thi hành</t>
  </si>
  <si>
    <t xml:space="preserve">Số chuyển kỳ sau </t>
  </si>
  <si>
    <t>Tỷ lệ thi hành xong trong số có điều kiện</t>
  </si>
  <si>
    <t>Năm trước chuyển sang (trừ số đã chuyển sổ theo dõi riêng)</t>
  </si>
  <si>
    <t>Thụ lý mới</t>
  </si>
  <si>
    <t>Tổng số có điều kiện thi hành</t>
  </si>
  <si>
    <t>Chưa có điều kiện (trừ số đã chuyển sổ theo dõi riêng)</t>
  </si>
  <si>
    <t>Hoãn thi hành án (trừ điểm c k1, Đ 48)</t>
  </si>
  <si>
    <t xml:space="preserve">Tạm đình chỉ thi hành án </t>
  </si>
  <si>
    <t>Tổng số thi hành xong</t>
  </si>
  <si>
    <t>Đang thi hành</t>
  </si>
  <si>
    <t>Hoãn theo điểm c k1, Đ 48</t>
  </si>
  <si>
    <t>Trường hợp khác</t>
  </si>
  <si>
    <t>Thi hành xong</t>
  </si>
  <si>
    <t xml:space="preserve">Đình chỉ </t>
  </si>
  <si>
    <t>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</si>
  <si>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</si>
  <si>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</si>
  <si>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</si>
  <si>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</si>
  <si>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</si>
  <si>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</si>
  <si>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</si>
  <si>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</si>
  <si>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</si>
  <si>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</si>
  <si>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</si>
  <si>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</si>
  <si>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</si>
  <si>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</si>
  <si>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</si>
  <si>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</si>
  <si>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</si>
  <si>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</si>
  <si>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</si>
  <si>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Tổng số</t>
  </si>
  <si>
    <t xml:space="preserve"> </t>
  </si>
  <si>
    <t>I</t>
  </si>
  <si>
    <t>CỤC THI HÀNH ÁN DS</t>
  </si>
  <si>
    <t>Chu Văn Quý</t>
  </si>
  <si>
    <t>Ngô Thị Hồng Nhung</t>
  </si>
  <si>
    <t>Vũ Ngọc Phương</t>
  </si>
  <si>
    <t>Đỗ Thị Hoàn</t>
  </si>
  <si>
    <t>II</t>
  </si>
  <si>
    <t>CÁC CHI CỤC THADS</t>
  </si>
  <si>
    <t>Chi cục Thi hành án dân sự Huyện Lý Nhân</t>
  </si>
  <si>
    <t>Trần Khánh Dư</t>
  </si>
  <si>
    <t>Bùi Trọng Tiến</t>
  </si>
  <si>
    <t>Đỗ Thị Thu Hằng</t>
  </si>
  <si>
    <t>Nguyễn Xuân Thắng</t>
  </si>
  <si>
    <t>Chi cục Thi hành án dân sự Huyện Bình Lục</t>
  </si>
  <si>
    <t>Nguyễn Lập Thuấn</t>
  </si>
  <si>
    <t>Tạ Đình Quang</t>
  </si>
  <si>
    <t>Lữ Thị Minh Châu</t>
  </si>
  <si>
    <t>Lê Quốc Huy</t>
  </si>
  <si>
    <t>Chi cục Thi hành án dân sự Huyện Duy Tiên</t>
  </si>
  <si>
    <t>Trần Văn Hoàng</t>
  </si>
  <si>
    <t>Nguyễn Thị Hoài</t>
  </si>
  <si>
    <t>Hoàng Long</t>
  </si>
  <si>
    <t>Đỗ Hoàng Hải</t>
  </si>
  <si>
    <t>Chi cục Thi hành án dân sự Huyện Kim Bảng</t>
  </si>
  <si>
    <t>Vũ Văn Duyến</t>
  </si>
  <si>
    <t>Nguyễn Minh Trường</t>
  </si>
  <si>
    <t>Phan Thị Ngọc Lan</t>
  </si>
  <si>
    <t>Nguyễn Minh Tuấn</t>
  </si>
  <si>
    <t>Ngô Đình Quyết</t>
  </si>
  <si>
    <t>Chi cục Thi hành án dân sự Huyện Thanh Liêm</t>
  </si>
  <si>
    <t>Vũ Thi Ninh</t>
  </si>
  <si>
    <t>Nguyễn Trung Chính</t>
  </si>
  <si>
    <t>Vũ Văn Khánh</t>
  </si>
  <si>
    <t>Nguyễn Quốc Thuận</t>
  </si>
  <si>
    <t>Chi cục Thi hành án dân sự Thành phố Phủ Lý</t>
  </si>
  <si>
    <t>Phạm Thị Thu Hà</t>
  </si>
  <si>
    <t>Đồng Hữu Trung</t>
  </si>
  <si>
    <t>Nguyễn Thị Hồng Vân</t>
  </si>
  <si>
    <t>Trương Văn Tuấn</t>
  </si>
  <si>
    <t>NGƯỜI LẬP BIỂU</t>
  </si>
  <si>
    <t xml:space="preserve">Biểu số: 05/TK-THA
Ban hành theo TT số: 06/2019/TT-BTP
ngày 21 tháng 11 năm 2019
Ngày nhận báo cáo: </t>
  </si>
  <si>
    <t>Đơn vị tính: 1.000 VNĐ và %</t>
  </si>
  <si>
    <t>Thu hồi, sửa, hủy quyết định THA</t>
  </si>
  <si>
    <t>Giảm nghĩa vụ thi hành án</t>
  </si>
  <si>
    <t>Tổng số</t>
  </si>
  <si>
    <t>Hà Nam, ngày 01 tháng 11 năm 2021</t>
  </si>
  <si>
    <t>PHỤ LỤC THEO DÕI SỐ CHUYỂN THEO DÕI RIÊNG</t>
  </si>
  <si>
    <t>Đơn vị tính: việc và 1.000 đồng</t>
  </si>
  <si>
    <t>TT</t>
  </si>
  <si>
    <t>Tiêu chí</t>
  </si>
  <si>
    <t>Việc</t>
  </si>
  <si>
    <t>Tiền</t>
  </si>
  <si>
    <t>Năm trước chuyển sang (chưa trừ theo dõi riêng)</t>
  </si>
  <si>
    <t>Chưa có điều kiện (chưa trừ  theo dõi riêng)</t>
  </si>
  <si>
    <t>Chuyển theo dõi riêng</t>
  </si>
  <si>
    <t>Tổng số việc chủ động</t>
  </si>
  <si>
    <t>Dân sự</t>
  </si>
  <si>
    <t>Kinh doanh, thương mại</t>
  </si>
  <si>
    <t>Tín dụng</t>
  </si>
  <si>
    <t>DS trong hình sự  (tội phạm chức vụ)</t>
  </si>
  <si>
    <t>DS trong hình sự (các tội XPTrTQLKT)</t>
  </si>
  <si>
    <t>DS trong hình sự (khác)</t>
  </si>
  <si>
    <t>DS trong hành chính</t>
  </si>
  <si>
    <t>Hôn nhân và gia đình</t>
  </si>
  <si>
    <t>Lao động</t>
  </si>
  <si>
    <t>Phá sản</t>
  </si>
  <si>
    <t>Trọng tài Thương mại</t>
  </si>
  <si>
    <t>Vụ việc cạnh tranh</t>
  </si>
  <si>
    <t>Loại khác</t>
  </si>
  <si>
    <t>Tổng số việc theo yêu cầu</t>
  </si>
  <si>
    <t>KẾT QUẢ THI HÀNH ÁN DÂN SỰ TÍNH BẰNG VIỆC CHIA THEO CƠ QUAN THI HÀNH ÁN DÂN SỰ VÀ CHẤP HÀNH VIÊN
02 tháng năm 2022</t>
  </si>
  <si>
    <t>Đinh Văn Tú</t>
  </si>
  <si>
    <t>Hoàng Văn Linh</t>
  </si>
  <si>
    <t>KẾT QUẢ THI HÀNH ÁN DÂN SỰ TÍNH BẰNG TIỀN CHIA THEO CƠ QUAN THI HÀNH ÁN DÂN SỰ VÀ CHẤP HÀNH VIÊN
02 tháng/năm 2022</t>
  </si>
  <si>
    <t>Hà Nam, ngày 30 tháng 11 năm 2021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</si>
</sst>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_);_(* \(#,##0.0\);_(* &quot;-&quot;??_);_(@_)"/>
    <numFmt numFmtId="167" formatCode="#,##0;[Red]#,##0"/>
  </numFmts>
  <fonts count="61">
    <font>
      <sz val="12"/>
      <name val="Times New Roman"/>
      <family val="1"/>
    </font>
    <font>
      <sz val="11"/>
      <color indexed="8"/>
      <name val="Calibri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9"/>
      <color indexed="9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12"/>
      <color rgb="FFFF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8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0" fontId="0" fillId="33" borderId="0" xfId="0" applyNumberFormat="1" applyFont="1" applyFill="1" applyAlignment="1">
      <alignment/>
    </xf>
    <xf numFmtId="49" fontId="0" fillId="33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wrapText="1"/>
    </xf>
    <xf numFmtId="49" fontId="3" fillId="0" borderId="0" xfId="0" applyNumberFormat="1" applyFont="1" applyFill="1" applyAlignment="1">
      <alignment/>
    </xf>
    <xf numFmtId="49" fontId="0" fillId="5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0" fontId="4" fillId="33" borderId="10" xfId="0" applyNumberFormat="1" applyFont="1" applyFill="1" applyBorder="1" applyAlignment="1">
      <alignment/>
    </xf>
    <xf numFmtId="164" fontId="4" fillId="33" borderId="10" xfId="42" applyNumberFormat="1" applyFont="1" applyFill="1" applyBorder="1" applyAlignment="1">
      <alignment/>
    </xf>
    <xf numFmtId="164" fontId="4" fillId="33" borderId="0" xfId="42" applyNumberFormat="1" applyFont="1" applyFill="1" applyAlignment="1">
      <alignment/>
    </xf>
    <xf numFmtId="164" fontId="0" fillId="0" borderId="0" xfId="42" applyNumberFormat="1" applyFont="1" applyFill="1" applyAlignment="1">
      <alignment horizontal="center"/>
    </xf>
    <xf numFmtId="0" fontId="0" fillId="33" borderId="0" xfId="0" applyNumberFormat="1" applyFont="1" applyFill="1" applyAlignment="1">
      <alignment horizontal="center" vertical="center"/>
    </xf>
    <xf numFmtId="49" fontId="0" fillId="33" borderId="0" xfId="0" applyNumberFormat="1" applyFont="1" applyFill="1" applyAlignment="1">
      <alignment horizontal="center" vertical="center"/>
    </xf>
    <xf numFmtId="0" fontId="0" fillId="33" borderId="0" xfId="0" applyNumberFormat="1" applyFont="1" applyFill="1" applyBorder="1" applyAlignment="1">
      <alignment horizontal="center" vertical="center"/>
    </xf>
    <xf numFmtId="49" fontId="0" fillId="33" borderId="0" xfId="0" applyNumberFormat="1" applyFont="1" applyFill="1" applyBorder="1" applyAlignment="1">
      <alignment horizontal="center" vertical="center"/>
    </xf>
    <xf numFmtId="164" fontId="6" fillId="34" borderId="11" xfId="42" applyNumberFormat="1" applyFont="1" applyFill="1" applyBorder="1" applyAlignment="1" applyProtection="1">
      <alignment horizontal="center" vertical="center" wrapText="1"/>
      <protection/>
    </xf>
    <xf numFmtId="0" fontId="0" fillId="33" borderId="0" xfId="58" applyNumberFormat="1" applyFont="1" applyFill="1" applyAlignment="1">
      <alignment horizontal="center" vertical="center"/>
    </xf>
    <xf numFmtId="49" fontId="7" fillId="33" borderId="11" xfId="0" applyNumberFormat="1" applyFont="1" applyFill="1" applyBorder="1" applyAlignment="1" applyProtection="1">
      <alignment horizontal="center" vertical="center" wrapText="1"/>
      <protection/>
    </xf>
    <xf numFmtId="49" fontId="7" fillId="5" borderId="11" xfId="0" applyNumberFormat="1" applyFont="1" applyFill="1" applyBorder="1" applyAlignment="1" applyProtection="1">
      <alignment horizontal="center" vertical="center" wrapText="1"/>
      <protection/>
    </xf>
    <xf numFmtId="49" fontId="7" fillId="0" borderId="11" xfId="0" applyNumberFormat="1" applyFont="1" applyFill="1" applyBorder="1" applyAlignment="1" applyProtection="1">
      <alignment horizontal="center" vertical="center" wrapText="1"/>
      <protection/>
    </xf>
    <xf numFmtId="164" fontId="7" fillId="33" borderId="11" xfId="42" applyNumberFormat="1" applyFont="1" applyFill="1" applyBorder="1" applyAlignment="1" applyProtection="1">
      <alignment horizontal="center" vertical="center" wrapText="1"/>
      <protection/>
    </xf>
    <xf numFmtId="164" fontId="7" fillId="0" borderId="11" xfId="42" applyNumberFormat="1" applyFont="1" applyFill="1" applyBorder="1" applyAlignment="1" applyProtection="1">
      <alignment horizontal="center" vertical="center" wrapText="1"/>
      <protection/>
    </xf>
    <xf numFmtId="164" fontId="7" fillId="35" borderId="11" xfId="42" applyNumberFormat="1" applyFont="1" applyFill="1" applyBorder="1" applyAlignment="1" applyProtection="1">
      <alignment horizontal="center" vertical="center"/>
      <protection/>
    </xf>
    <xf numFmtId="1" fontId="55" fillId="5" borderId="11" xfId="0" applyNumberFormat="1" applyFont="1" applyFill="1" applyBorder="1" applyAlignment="1">
      <alignment vertical="center" wrapText="1"/>
    </xf>
    <xf numFmtId="1" fontId="55" fillId="35" borderId="11" xfId="0" applyNumberFormat="1" applyFont="1" applyFill="1" applyBorder="1" applyAlignment="1">
      <alignment vertical="center" wrapText="1"/>
    </xf>
    <xf numFmtId="164" fontId="7" fillId="5" borderId="11" xfId="42" applyNumberFormat="1" applyFont="1" applyFill="1" applyBorder="1" applyAlignment="1" applyProtection="1">
      <alignment horizontal="center" vertical="center"/>
      <protection/>
    </xf>
    <xf numFmtId="10" fontId="7" fillId="36" borderId="11" xfId="58" applyNumberFormat="1" applyFont="1" applyFill="1" applyBorder="1" applyAlignment="1" applyProtection="1">
      <alignment horizontal="center" vertical="center"/>
      <protection locked="0"/>
    </xf>
    <xf numFmtId="0" fontId="0" fillId="33" borderId="0" xfId="0" applyNumberFormat="1" applyFont="1" applyFill="1" applyAlignment="1" applyProtection="1">
      <alignment/>
      <protection locked="0"/>
    </xf>
    <xf numFmtId="164" fontId="0" fillId="33" borderId="0" xfId="0" applyNumberFormat="1" applyFont="1" applyFill="1" applyAlignment="1" applyProtection="1">
      <alignment/>
      <protection locked="0"/>
    </xf>
    <xf numFmtId="49" fontId="0" fillId="33" borderId="0" xfId="0" applyNumberFormat="1" applyFont="1" applyFill="1" applyAlignment="1" applyProtection="1">
      <alignment/>
      <protection locked="0"/>
    </xf>
    <xf numFmtId="0" fontId="55" fillId="37" borderId="11" xfId="0" applyFont="1" applyFill="1" applyBorder="1" applyAlignment="1">
      <alignment horizontal="center" vertical="center" wrapText="1"/>
    </xf>
    <xf numFmtId="0" fontId="55" fillId="37" borderId="11" xfId="0" applyFont="1" applyFill="1" applyBorder="1" applyAlignment="1">
      <alignment vertical="center" wrapText="1"/>
    </xf>
    <xf numFmtId="164" fontId="7" fillId="37" borderId="11" xfId="42" applyNumberFormat="1" applyFont="1" applyFill="1" applyBorder="1" applyAlignment="1" applyProtection="1">
      <alignment horizontal="center" vertical="center"/>
      <protection/>
    </xf>
    <xf numFmtId="164" fontId="7" fillId="36" borderId="11" xfId="42" applyNumberFormat="1" applyFont="1" applyFill="1" applyBorder="1" applyAlignment="1" applyProtection="1">
      <alignment horizontal="center" vertical="center"/>
      <protection/>
    </xf>
    <xf numFmtId="164" fontId="55" fillId="38" borderId="11" xfId="42" applyNumberFormat="1" applyFont="1" applyFill="1" applyBorder="1" applyAlignment="1">
      <alignment vertical="center" wrapText="1"/>
    </xf>
    <xf numFmtId="164" fontId="55" fillId="37" borderId="11" xfId="42" applyNumberFormat="1" applyFont="1" applyFill="1" applyBorder="1" applyAlignment="1">
      <alignment vertical="center" wrapText="1"/>
    </xf>
    <xf numFmtId="164" fontId="56" fillId="37" borderId="11" xfId="42" applyNumberFormat="1" applyFont="1" applyFill="1" applyBorder="1" applyAlignment="1">
      <alignment vertical="center" wrapText="1"/>
    </xf>
    <xf numFmtId="1" fontId="55" fillId="37" borderId="11" xfId="0" applyNumberFormat="1" applyFont="1" applyFill="1" applyBorder="1" applyAlignment="1">
      <alignment vertical="center" wrapText="1"/>
    </xf>
    <xf numFmtId="10" fontId="7" fillId="37" borderId="11" xfId="58" applyNumberFormat="1" applyFont="1" applyFill="1" applyBorder="1" applyAlignment="1" applyProtection="1">
      <alignment horizontal="center" vertical="center"/>
      <protection locked="0"/>
    </xf>
    <xf numFmtId="0" fontId="0" fillId="37" borderId="0" xfId="0" applyNumberFormat="1" applyFont="1" applyFill="1" applyAlignment="1" applyProtection="1">
      <alignment/>
      <protection locked="0"/>
    </xf>
    <xf numFmtId="164" fontId="0" fillId="37" borderId="0" xfId="0" applyNumberFormat="1" applyFont="1" applyFill="1" applyAlignment="1" applyProtection="1">
      <alignment/>
      <protection locked="0"/>
    </xf>
    <xf numFmtId="49" fontId="0" fillId="37" borderId="0" xfId="0" applyNumberFormat="1" applyFont="1" applyFill="1" applyAlignment="1" applyProtection="1">
      <alignment/>
      <protection locked="0"/>
    </xf>
    <xf numFmtId="165" fontId="56" fillId="38" borderId="11" xfId="0" applyNumberFormat="1" applyFont="1" applyFill="1" applyBorder="1" applyAlignment="1">
      <alignment horizontal="center" vertical="center" wrapText="1"/>
    </xf>
    <xf numFmtId="0" fontId="56" fillId="38" borderId="11" xfId="0" applyFont="1" applyFill="1" applyBorder="1" applyAlignment="1">
      <alignment vertical="center" wrapText="1"/>
    </xf>
    <xf numFmtId="164" fontId="7" fillId="34" borderId="11" xfId="42" applyNumberFormat="1" applyFont="1" applyFill="1" applyBorder="1" applyAlignment="1" applyProtection="1">
      <alignment horizontal="center" vertical="center"/>
      <protection locked="0"/>
    </xf>
    <xf numFmtId="164" fontId="7" fillId="39" borderId="11" xfId="42" applyNumberFormat="1" applyFont="1" applyFill="1" applyBorder="1" applyAlignment="1" applyProtection="1">
      <alignment horizontal="center" vertical="center"/>
      <protection locked="0"/>
    </xf>
    <xf numFmtId="164" fontId="7" fillId="0" borderId="11" xfId="42" applyNumberFormat="1" applyFont="1" applyFill="1" applyBorder="1" applyAlignment="1" applyProtection="1">
      <alignment horizontal="center" vertical="center"/>
      <protection locked="0"/>
    </xf>
    <xf numFmtId="164" fontId="56" fillId="38" borderId="11" xfId="42" applyNumberFormat="1" applyFont="1" applyFill="1" applyBorder="1" applyAlignment="1">
      <alignment vertical="center" wrapText="1"/>
    </xf>
    <xf numFmtId="1" fontId="55" fillId="37" borderId="11" xfId="0" applyNumberFormat="1" applyFont="1" applyFill="1" applyBorder="1" applyAlignment="1">
      <alignment horizontal="center" vertical="center" wrapText="1"/>
    </xf>
    <xf numFmtId="164" fontId="7" fillId="37" borderId="11" xfId="42" applyNumberFormat="1" applyFont="1" applyFill="1" applyBorder="1" applyAlignment="1" applyProtection="1">
      <alignment horizontal="center" vertical="center"/>
      <protection locked="0"/>
    </xf>
    <xf numFmtId="164" fontId="7" fillId="39" borderId="11" xfId="42" applyNumberFormat="1" applyFont="1" applyFill="1" applyBorder="1" applyAlignment="1" applyProtection="1">
      <alignment horizontal="center"/>
      <protection locked="0"/>
    </xf>
    <xf numFmtId="164" fontId="7" fillId="36" borderId="11" xfId="42" applyNumberFormat="1" applyFont="1" applyFill="1" applyBorder="1" applyAlignment="1" applyProtection="1">
      <alignment horizontal="center" vertical="center"/>
      <protection locked="0"/>
    </xf>
    <xf numFmtId="164" fontId="56" fillId="39" borderId="11" xfId="42" applyNumberFormat="1" applyFont="1" applyFill="1" applyBorder="1" applyAlignment="1">
      <alignment vertical="center" wrapText="1"/>
    </xf>
    <xf numFmtId="164" fontId="8" fillId="33" borderId="11" xfId="42" applyNumberFormat="1" applyFont="1" applyFill="1" applyBorder="1" applyAlignment="1" applyProtection="1">
      <alignment horizontal="center" vertical="center"/>
      <protection locked="0"/>
    </xf>
    <xf numFmtId="49" fontId="9" fillId="0" borderId="12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/>
      <protection/>
    </xf>
    <xf numFmtId="164" fontId="0" fillId="0" borderId="0" xfId="42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Alignment="1" applyProtection="1">
      <alignment horizontal="center"/>
      <protection/>
    </xf>
    <xf numFmtId="164" fontId="0" fillId="0" borderId="0" xfId="42" applyNumberFormat="1" applyFont="1" applyFill="1" applyAlignment="1" applyProtection="1">
      <alignment horizontal="center"/>
      <protection/>
    </xf>
    <xf numFmtId="49" fontId="9" fillId="0" borderId="0" xfId="0" applyNumberFormat="1" applyFont="1" applyFill="1" applyBorder="1" applyAlignment="1" applyProtection="1">
      <alignment/>
      <protection/>
    </xf>
    <xf numFmtId="49" fontId="9" fillId="5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164" fontId="0" fillId="0" borderId="0" xfId="42" applyNumberFormat="1" applyFont="1" applyFill="1" applyAlignment="1" applyProtection="1">
      <alignment/>
      <protection/>
    </xf>
    <xf numFmtId="49" fontId="57" fillId="5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10" fillId="0" borderId="0" xfId="0" applyNumberFormat="1" applyFont="1" applyFill="1" applyAlignment="1" applyProtection="1">
      <alignment wrapText="1"/>
      <protection/>
    </xf>
    <xf numFmtId="164" fontId="10" fillId="0" borderId="0" xfId="42" applyNumberFormat="1" applyFont="1" applyFill="1" applyAlignment="1" applyProtection="1">
      <alignment wrapText="1"/>
      <protection/>
    </xf>
    <xf numFmtId="49" fontId="10" fillId="5" borderId="0" xfId="0" applyNumberFormat="1" applyFont="1" applyFill="1" applyAlignment="1" applyProtection="1">
      <alignment wrapText="1"/>
      <protection/>
    </xf>
    <xf numFmtId="164" fontId="10" fillId="0" borderId="0" xfId="42" applyNumberFormat="1" applyFont="1" applyFill="1" applyAlignment="1" applyProtection="1">
      <alignment horizontal="center" wrapText="1"/>
      <protection/>
    </xf>
    <xf numFmtId="49" fontId="10" fillId="5" borderId="0" xfId="0" applyNumberFormat="1" applyFont="1" applyFill="1" applyAlignment="1" applyProtection="1">
      <alignment horizontal="center" wrapText="1"/>
      <protection/>
    </xf>
    <xf numFmtId="49" fontId="10" fillId="0" borderId="0" xfId="0" applyNumberFormat="1" applyFont="1" applyFill="1" applyAlignment="1" applyProtection="1">
      <alignment horizontal="center" wrapText="1"/>
      <protection/>
    </xf>
    <xf numFmtId="49" fontId="0" fillId="33" borderId="0" xfId="0" applyNumberFormat="1" applyFont="1" applyFill="1" applyAlignment="1">
      <alignment wrapText="1"/>
    </xf>
    <xf numFmtId="164" fontId="0" fillId="33" borderId="0" xfId="42" applyNumberFormat="1" applyFont="1" applyFill="1" applyAlignment="1">
      <alignment/>
    </xf>
    <xf numFmtId="164" fontId="0" fillId="33" borderId="0" xfId="42" applyNumberFormat="1" applyFont="1" applyFill="1" applyAlignment="1">
      <alignment horizontal="center"/>
    </xf>
    <xf numFmtId="49" fontId="0" fillId="5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49" fontId="0" fillId="33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/>
    </xf>
    <xf numFmtId="49" fontId="4" fillId="33" borderId="0" xfId="0" applyNumberFormat="1" applyFont="1" applyFill="1" applyAlignment="1">
      <alignment/>
    </xf>
    <xf numFmtId="1" fontId="11" fillId="33" borderId="0" xfId="0" applyNumberFormat="1" applyFont="1" applyFill="1" applyAlignment="1">
      <alignment horizontal="center"/>
    </xf>
    <xf numFmtId="1" fontId="4" fillId="33" borderId="0" xfId="0" applyNumberFormat="1" applyFont="1" applyFill="1" applyAlignment="1">
      <alignment/>
    </xf>
    <xf numFmtId="49" fontId="4" fillId="33" borderId="0" xfId="0" applyNumberFormat="1" applyFont="1" applyFill="1" applyAlignment="1">
      <alignment horizontal="center"/>
    </xf>
    <xf numFmtId="164" fontId="0" fillId="33" borderId="0" xfId="42" applyNumberFormat="1" applyFont="1" applyFill="1" applyAlignment="1">
      <alignment horizontal="center" vertical="center"/>
    </xf>
    <xf numFmtId="164" fontId="0" fillId="33" borderId="0" xfId="42" applyNumberFormat="1" applyFont="1" applyFill="1" applyBorder="1" applyAlignment="1">
      <alignment horizontal="center" vertical="center"/>
    </xf>
    <xf numFmtId="49" fontId="7" fillId="34" borderId="11" xfId="0" applyNumberFormat="1" applyFont="1" applyFill="1" applyBorder="1" applyAlignment="1" applyProtection="1">
      <alignment horizontal="center" vertical="center" wrapText="1"/>
      <protection/>
    </xf>
    <xf numFmtId="164" fontId="8" fillId="36" borderId="11" xfId="42" applyNumberFormat="1" applyFont="1" applyFill="1" applyBorder="1" applyAlignment="1" applyProtection="1">
      <alignment horizontal="center" vertical="center" wrapText="1"/>
      <protection/>
    </xf>
    <xf numFmtId="164" fontId="58" fillId="0" borderId="11" xfId="42" applyNumberFormat="1" applyFont="1" applyFill="1" applyBorder="1" applyAlignment="1">
      <alignment vertical="center" wrapText="1"/>
    </xf>
    <xf numFmtId="10" fontId="8" fillId="36" borderId="11" xfId="58" applyNumberFormat="1" applyFont="1" applyFill="1" applyBorder="1" applyAlignment="1" applyProtection="1">
      <alignment horizontal="center" vertical="center" wrapText="1"/>
      <protection locked="0"/>
    </xf>
    <xf numFmtId="164" fontId="0" fillId="37" borderId="0" xfId="42" applyNumberFormat="1" applyFont="1" applyFill="1" applyAlignment="1" applyProtection="1">
      <alignment/>
      <protection locked="0"/>
    </xf>
    <xf numFmtId="164" fontId="0" fillId="33" borderId="0" xfId="0" applyNumberFormat="1" applyFont="1" applyFill="1" applyAlignment="1">
      <alignment/>
    </xf>
    <xf numFmtId="0" fontId="59" fillId="37" borderId="11" xfId="0" applyFont="1" applyFill="1" applyBorder="1" applyAlignment="1">
      <alignment horizontal="center" vertical="center" wrapText="1"/>
    </xf>
    <xf numFmtId="0" fontId="59" fillId="37" borderId="11" xfId="0" applyFont="1" applyFill="1" applyBorder="1" applyAlignment="1">
      <alignment vertical="center" wrapText="1"/>
    </xf>
    <xf numFmtId="164" fontId="8" fillId="37" borderId="11" xfId="42" applyNumberFormat="1" applyFont="1" applyFill="1" applyBorder="1" applyAlignment="1" applyProtection="1">
      <alignment horizontal="center" vertical="center" wrapText="1"/>
      <protection/>
    </xf>
    <xf numFmtId="164" fontId="58" fillId="37" borderId="11" xfId="42" applyNumberFormat="1" applyFont="1" applyFill="1" applyBorder="1" applyAlignment="1">
      <alignment vertical="center" wrapText="1"/>
    </xf>
    <xf numFmtId="10" fontId="8" fillId="37" borderId="11" xfId="58" applyNumberFormat="1" applyFont="1" applyFill="1" applyBorder="1" applyAlignment="1" applyProtection="1">
      <alignment horizontal="center" vertical="center" wrapText="1"/>
      <protection locked="0"/>
    </xf>
    <xf numFmtId="165" fontId="58" fillId="38" borderId="11" xfId="0" applyNumberFormat="1" applyFont="1" applyFill="1" applyBorder="1" applyAlignment="1">
      <alignment horizontal="center" vertical="center" wrapText="1"/>
    </xf>
    <xf numFmtId="0" fontId="58" fillId="38" borderId="11" xfId="0" applyFont="1" applyFill="1" applyBorder="1" applyAlignment="1">
      <alignment vertical="center" wrapText="1"/>
    </xf>
    <xf numFmtId="164" fontId="58" fillId="38" borderId="11" xfId="42" applyNumberFormat="1" applyFont="1" applyFill="1" applyBorder="1" applyAlignment="1">
      <alignment vertical="center" wrapText="1"/>
    </xf>
    <xf numFmtId="164" fontId="8" fillId="40" borderId="11" xfId="42" applyNumberFormat="1" applyFont="1" applyFill="1" applyBorder="1" applyAlignment="1" applyProtection="1">
      <alignment horizontal="center" vertical="center" wrapText="1"/>
      <protection/>
    </xf>
    <xf numFmtId="1" fontId="59" fillId="37" borderId="11" xfId="0" applyNumberFormat="1" applyFont="1" applyFill="1" applyBorder="1" applyAlignment="1">
      <alignment horizontal="center" vertical="center" wrapText="1"/>
    </xf>
    <xf numFmtId="164" fontId="8" fillId="40" borderId="11" xfId="42" applyNumberFormat="1" applyFont="1" applyFill="1" applyBorder="1" applyAlignment="1" applyProtection="1">
      <alignment horizontal="center" vertical="center"/>
      <protection locked="0"/>
    </xf>
    <xf numFmtId="164" fontId="8" fillId="40" borderId="11" xfId="44" applyNumberFormat="1" applyFont="1" applyFill="1" applyBorder="1" applyAlignment="1" applyProtection="1">
      <alignment horizontal="center" vertical="center" wrapText="1"/>
      <protection/>
    </xf>
    <xf numFmtId="49" fontId="57" fillId="0" borderId="0" xfId="0" applyNumberFormat="1" applyFont="1" applyFill="1" applyAlignment="1" applyProtection="1">
      <alignment/>
      <protection/>
    </xf>
    <xf numFmtId="164" fontId="59" fillId="38" borderId="11" xfId="42" applyNumberFormat="1" applyFont="1" applyFill="1" applyBorder="1" applyAlignment="1">
      <alignment vertical="center" wrapText="1"/>
    </xf>
    <xf numFmtId="164" fontId="8" fillId="33" borderId="13" xfId="42" applyNumberFormat="1" applyFont="1" applyFill="1" applyBorder="1" applyAlignment="1" applyProtection="1">
      <alignment vertical="center" wrapText="1"/>
      <protection locked="0"/>
    </xf>
    <xf numFmtId="164" fontId="7" fillId="34" borderId="13" xfId="42" applyNumberFormat="1" applyFont="1" applyFill="1" applyBorder="1" applyAlignment="1" applyProtection="1">
      <alignment vertical="center" wrapText="1"/>
      <protection locked="0"/>
    </xf>
    <xf numFmtId="164" fontId="10" fillId="33" borderId="13" xfId="42" applyNumberFormat="1" applyFont="1" applyFill="1" applyBorder="1" applyAlignment="1" applyProtection="1">
      <alignment vertical="center" wrapText="1"/>
      <protection locked="0"/>
    </xf>
    <xf numFmtId="164" fontId="10" fillId="34" borderId="11" xfId="42" applyNumberFormat="1" applyFont="1" applyFill="1" applyBorder="1" applyAlignment="1" applyProtection="1">
      <alignment horizontal="center" vertical="center"/>
      <protection locked="0"/>
    </xf>
    <xf numFmtId="164" fontId="8" fillId="33" borderId="11" xfId="42" applyNumberFormat="1" applyFont="1" applyFill="1" applyBorder="1" applyAlignment="1" applyProtection="1">
      <alignment horizontal="center" vertical="center"/>
      <protection locked="0"/>
    </xf>
    <xf numFmtId="3" fontId="13" fillId="33" borderId="11" xfId="0" applyNumberFormat="1" applyFont="1" applyFill="1" applyBorder="1" applyAlignment="1" applyProtection="1">
      <alignment vertical="center" wrapText="1"/>
      <protection locked="0"/>
    </xf>
    <xf numFmtId="164" fontId="7" fillId="34" borderId="11" xfId="44" applyNumberFormat="1" applyFont="1" applyFill="1" applyBorder="1" applyAlignment="1" applyProtection="1">
      <alignment horizontal="center" vertical="center"/>
      <protection locked="0"/>
    </xf>
    <xf numFmtId="164" fontId="7" fillId="36" borderId="11" xfId="44" applyNumberFormat="1" applyFont="1" applyFill="1" applyBorder="1" applyAlignment="1" applyProtection="1">
      <alignment horizontal="center" vertical="center"/>
      <protection/>
    </xf>
    <xf numFmtId="164" fontId="8" fillId="33" borderId="13" xfId="44" applyNumberFormat="1" applyFont="1" applyFill="1" applyBorder="1" applyAlignment="1" applyProtection="1">
      <alignment vertical="center" wrapText="1"/>
      <protection locked="0"/>
    </xf>
    <xf numFmtId="164" fontId="8" fillId="34" borderId="13" xfId="44" applyNumberFormat="1" applyFont="1" applyFill="1" applyBorder="1" applyAlignment="1" applyProtection="1">
      <alignment vertical="center" wrapText="1"/>
      <protection locked="0"/>
    </xf>
    <xf numFmtId="164" fontId="8" fillId="0" borderId="13" xfId="44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49" fontId="15" fillId="36" borderId="11" xfId="0" applyNumberFormat="1" applyFont="1" applyFill="1" applyBorder="1" applyAlignment="1" applyProtection="1">
      <alignment horizontal="center" vertical="center" wrapText="1"/>
      <protection/>
    </xf>
    <xf numFmtId="49" fontId="15" fillId="41" borderId="11" xfId="0" applyNumberFormat="1" applyFont="1" applyFill="1" applyBorder="1" applyAlignment="1" applyProtection="1">
      <alignment vertical="center" wrapText="1"/>
      <protection/>
    </xf>
    <xf numFmtId="164" fontId="16" fillId="41" borderId="11" xfId="42" applyNumberFormat="1" applyFont="1" applyFill="1" applyBorder="1" applyAlignment="1">
      <alignment/>
    </xf>
    <xf numFmtId="164" fontId="16" fillId="41" borderId="14" xfId="42" applyNumberFormat="1" applyFont="1" applyFill="1" applyBorder="1" applyAlignment="1">
      <alignment/>
    </xf>
    <xf numFmtId="164" fontId="0" fillId="0" borderId="0" xfId="0" applyNumberFormat="1" applyAlignment="1">
      <alignment/>
    </xf>
    <xf numFmtId="49" fontId="8" fillId="33" borderId="11" xfId="0" applyNumberFormat="1" applyFont="1" applyFill="1" applyBorder="1" applyAlignment="1" applyProtection="1">
      <alignment horizontal="center" vertical="center"/>
      <protection/>
    </xf>
    <xf numFmtId="49" fontId="8" fillId="33" borderId="11" xfId="0" applyNumberFormat="1" applyFont="1" applyFill="1" applyBorder="1" applyAlignment="1" applyProtection="1">
      <alignment vertical="center"/>
      <protection/>
    </xf>
    <xf numFmtId="164" fontId="12" fillId="41" borderId="11" xfId="42" applyNumberFormat="1" applyFont="1" applyFill="1" applyBorder="1" applyAlignment="1">
      <alignment/>
    </xf>
    <xf numFmtId="164" fontId="12" fillId="41" borderId="11" xfId="42" applyNumberFormat="1" applyFont="1" applyFill="1" applyBorder="1" applyAlignment="1">
      <alignment vertical="center" wrapText="1"/>
    </xf>
    <xf numFmtId="164" fontId="7" fillId="0" borderId="14" xfId="0" applyNumberFormat="1" applyFont="1" applyBorder="1" applyAlignment="1">
      <alignment/>
    </xf>
    <xf numFmtId="164" fontId="7" fillId="0" borderId="11" xfId="0" applyNumberFormat="1" applyFont="1" applyBorder="1" applyAlignment="1">
      <alignment/>
    </xf>
    <xf numFmtId="16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49" fontId="8" fillId="33" borderId="11" xfId="0" applyNumberFormat="1" applyFont="1" applyFill="1" applyBorder="1" applyAlignment="1">
      <alignment/>
    </xf>
    <xf numFmtId="164" fontId="57" fillId="0" borderId="0" xfId="0" applyNumberFormat="1" applyFont="1" applyAlignment="1">
      <alignment/>
    </xf>
    <xf numFmtId="49" fontId="8" fillId="33" borderId="11" xfId="0" applyNumberFormat="1" applyFont="1" applyFill="1" applyBorder="1" applyAlignment="1" applyProtection="1">
      <alignment vertical="center" wrapText="1"/>
      <protection/>
    </xf>
    <xf numFmtId="164" fontId="12" fillId="41" borderId="11" xfId="42" applyNumberFormat="1" applyFont="1" applyFill="1" applyBorder="1" applyAlignment="1">
      <alignment vertical="center"/>
    </xf>
    <xf numFmtId="164" fontId="7" fillId="0" borderId="14" xfId="0" applyNumberFormat="1" applyFont="1" applyBorder="1" applyAlignment="1">
      <alignment vertical="center"/>
    </xf>
    <xf numFmtId="164" fontId="7" fillId="0" borderId="11" xfId="0" applyNumberFormat="1" applyFont="1" applyBorder="1" applyAlignment="1">
      <alignment vertical="center"/>
    </xf>
    <xf numFmtId="164" fontId="0" fillId="0" borderId="0" xfId="42" applyNumberFormat="1" applyFont="1" applyAlignment="1">
      <alignment/>
    </xf>
    <xf numFmtId="49" fontId="15" fillId="41" borderId="11" xfId="0" applyNumberFormat="1" applyFont="1" applyFill="1" applyBorder="1" applyAlignment="1" applyProtection="1">
      <alignment horizontal="left" vertical="center" wrapText="1"/>
      <protection/>
    </xf>
    <xf numFmtId="164" fontId="15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3" fillId="0" borderId="0" xfId="0" applyFont="1" applyAlignment="1">
      <alignment/>
    </xf>
    <xf numFmtId="164" fontId="7" fillId="0" borderId="11" xfId="42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164" fontId="7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164" fontId="7" fillId="0" borderId="11" xfId="42" applyNumberFormat="1" applyFont="1" applyFill="1" applyBorder="1" applyAlignment="1" applyProtection="1">
      <alignment horizontal="center" vertical="center"/>
      <protection/>
    </xf>
    <xf numFmtId="164" fontId="8" fillId="33" borderId="13" xfId="42" applyNumberFormat="1" applyFont="1" applyFill="1" applyBorder="1" applyAlignment="1" applyProtection="1">
      <alignment vertical="center" wrapText="1"/>
      <protection locked="0"/>
    </xf>
    <xf numFmtId="164" fontId="8" fillId="37" borderId="0" xfId="42" applyNumberFormat="1" applyFont="1" applyFill="1" applyAlignment="1" applyProtection="1">
      <alignment/>
      <protection locked="0"/>
    </xf>
    <xf numFmtId="164" fontId="8" fillId="37" borderId="0" xfId="0" applyNumberFormat="1" applyFont="1" applyFill="1" applyAlignment="1" applyProtection="1">
      <alignment/>
      <protection locked="0"/>
    </xf>
    <xf numFmtId="164" fontId="8" fillId="33" borderId="0" xfId="0" applyNumberFormat="1" applyFont="1" applyFill="1" applyAlignment="1">
      <alignment/>
    </xf>
    <xf numFmtId="49" fontId="8" fillId="33" borderId="0" xfId="0" applyNumberFormat="1" applyFont="1" applyFill="1" applyAlignment="1" applyProtection="1">
      <alignment/>
      <protection locked="0"/>
    </xf>
    <xf numFmtId="164" fontId="8" fillId="34" borderId="11" xfId="42" applyNumberFormat="1" applyFont="1" applyFill="1" applyBorder="1" applyAlignment="1" applyProtection="1">
      <alignment horizontal="center" vertical="center"/>
      <protection locked="0"/>
    </xf>
    <xf numFmtId="164" fontId="8" fillId="36" borderId="13" xfId="44" applyNumberFormat="1" applyFont="1" applyFill="1" applyBorder="1" applyAlignment="1" applyProtection="1">
      <alignment horizontal="center" vertical="center" wrapText="1"/>
      <protection/>
    </xf>
    <xf numFmtId="164" fontId="7" fillId="0" borderId="11" xfId="42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ill="1" applyAlignment="1">
      <alignment horizontal="left" vertical="top" wrapText="1"/>
    </xf>
    <xf numFmtId="49" fontId="2" fillId="0" borderId="0" xfId="0" applyNumberFormat="1" applyFont="1" applyFill="1" applyBorder="1" applyAlignment="1" applyProtection="1">
      <alignment horizontal="center" vertical="top" wrapText="1"/>
      <protection locked="0"/>
    </xf>
    <xf numFmtId="43" fontId="0" fillId="0" borderId="0" xfId="42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right"/>
    </xf>
    <xf numFmtId="0" fontId="6" fillId="33" borderId="15" xfId="0" applyNumberFormat="1" applyFont="1" applyFill="1" applyBorder="1" applyAlignment="1">
      <alignment horizontal="center" vertical="center" wrapText="1"/>
    </xf>
    <xf numFmtId="0" fontId="6" fillId="33" borderId="16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49" fontId="6" fillId="34" borderId="11" xfId="0" applyNumberFormat="1" applyFont="1" applyFill="1" applyBorder="1" applyAlignment="1" applyProtection="1">
      <alignment horizontal="center" vertical="center" wrapText="1"/>
      <protection/>
    </xf>
    <xf numFmtId="49" fontId="6" fillId="33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33" borderId="14" xfId="0" applyNumberFormat="1" applyFont="1" applyFill="1" applyBorder="1" applyAlignment="1" applyProtection="1">
      <alignment horizontal="center" vertical="center" wrapText="1"/>
      <protection/>
    </xf>
    <xf numFmtId="49" fontId="6" fillId="33" borderId="17" xfId="0" applyNumberFormat="1" applyFont="1" applyFill="1" applyBorder="1" applyAlignment="1" applyProtection="1">
      <alignment horizontal="center" vertical="center" wrapText="1"/>
      <protection/>
    </xf>
    <xf numFmtId="1" fontId="6" fillId="33" borderId="15" xfId="0" applyNumberFormat="1" applyFont="1" applyFill="1" applyBorder="1" applyAlignment="1">
      <alignment horizontal="center" vertical="center" wrapText="1"/>
    </xf>
    <xf numFmtId="1" fontId="6" fillId="33" borderId="16" xfId="0" applyNumberFormat="1" applyFont="1" applyFill="1" applyBorder="1" applyAlignment="1">
      <alignment horizontal="center" vertical="center" wrapText="1"/>
    </xf>
    <xf numFmtId="1" fontId="6" fillId="33" borderId="13" xfId="0" applyNumberFormat="1" applyFont="1" applyFill="1" applyBorder="1" applyAlignment="1">
      <alignment horizontal="center" vertical="center" wrapText="1"/>
    </xf>
    <xf numFmtId="49" fontId="6" fillId="33" borderId="15" xfId="0" applyNumberFormat="1" applyFont="1" applyFill="1" applyBorder="1" applyAlignment="1" applyProtection="1">
      <alignment horizontal="center" vertical="center" wrapText="1"/>
      <protection/>
    </xf>
    <xf numFmtId="49" fontId="6" fillId="33" borderId="16" xfId="0" applyNumberFormat="1" applyFont="1" applyFill="1" applyBorder="1" applyAlignment="1" applyProtection="1">
      <alignment horizontal="center" vertical="center" wrapText="1"/>
      <protection/>
    </xf>
    <xf numFmtId="49" fontId="6" fillId="5" borderId="11" xfId="0" applyNumberFormat="1" applyFont="1" applyFill="1" applyBorder="1" applyAlignment="1" applyProtection="1">
      <alignment horizontal="center" vertical="center" wrapText="1"/>
      <protection/>
    </xf>
    <xf numFmtId="49" fontId="6" fillId="5" borderId="11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164" fontId="6" fillId="34" borderId="11" xfId="42" applyNumberFormat="1" applyFont="1" applyFill="1" applyBorder="1" applyAlignment="1" applyProtection="1">
      <alignment horizontal="center" vertical="center" wrapText="1"/>
      <protection/>
    </xf>
    <xf numFmtId="164" fontId="6" fillId="33" borderId="11" xfId="42" applyNumberFormat="1" applyFont="1" applyFill="1" applyBorder="1" applyAlignment="1">
      <alignment horizontal="center" vertical="center" wrapText="1"/>
    </xf>
    <xf numFmtId="164" fontId="6" fillId="0" borderId="11" xfId="42" applyNumberFormat="1" applyFont="1" applyFill="1" applyBorder="1" applyAlignment="1">
      <alignment horizontal="center" vertical="center" wrapText="1"/>
    </xf>
    <xf numFmtId="164" fontId="2" fillId="0" borderId="0" xfId="42" applyNumberFormat="1" applyFont="1" applyFill="1" applyAlignment="1" applyProtection="1">
      <alignment horizontal="center" wrapText="1"/>
      <protection/>
    </xf>
    <xf numFmtId="43" fontId="2" fillId="0" borderId="0" xfId="42" applyFont="1" applyFill="1" applyAlignment="1" applyProtection="1">
      <alignment horizontal="center" wrapText="1"/>
      <protection/>
    </xf>
    <xf numFmtId="0" fontId="7" fillId="33" borderId="14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14" fontId="9" fillId="0" borderId="12" xfId="42" applyNumberFormat="1" applyFont="1" applyFill="1" applyBorder="1" applyAlignment="1" applyProtection="1">
      <alignment horizontal="center" wrapText="1"/>
      <protection/>
    </xf>
    <xf numFmtId="43" fontId="9" fillId="0" borderId="12" xfId="42" applyFont="1" applyFill="1" applyBorder="1" applyAlignment="1" applyProtection="1">
      <alignment horizontal="center" wrapText="1"/>
      <protection/>
    </xf>
    <xf numFmtId="14" fontId="9" fillId="0" borderId="12" xfId="42" applyNumberFormat="1" applyFont="1" applyFill="1" applyBorder="1" applyAlignment="1" applyProtection="1">
      <alignment horizontal="center" vertical="center" wrapText="1"/>
      <protection/>
    </xf>
    <xf numFmtId="43" fontId="9" fillId="0" borderId="12" xfId="42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wrapText="1"/>
      <protection/>
    </xf>
    <xf numFmtId="49" fontId="9" fillId="0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Font="1" applyAlignment="1" applyProtection="1">
      <alignment horizontal="center" wrapText="1"/>
      <protection/>
    </xf>
    <xf numFmtId="49" fontId="0" fillId="0" borderId="0" xfId="0" applyNumberFormat="1" applyFont="1" applyFill="1" applyAlignment="1">
      <alignment horizontal="left" vertical="top" wrapText="1"/>
    </xf>
    <xf numFmtId="49" fontId="9" fillId="0" borderId="0" xfId="0" applyNumberFormat="1" applyFont="1" applyFill="1" applyBorder="1" applyAlignment="1" applyProtection="1">
      <alignment horizontal="center" vertical="top" wrapText="1"/>
      <protection locked="0"/>
    </xf>
    <xf numFmtId="43" fontId="0" fillId="0" borderId="0" xfId="42" applyFont="1" applyFill="1" applyBorder="1" applyAlignment="1">
      <alignment horizontal="left" vertical="top" wrapText="1"/>
    </xf>
    <xf numFmtId="0" fontId="7" fillId="33" borderId="15" xfId="0" applyNumberFormat="1" applyFont="1" applyFill="1" applyBorder="1" applyAlignment="1">
      <alignment horizontal="center" vertical="center" wrapText="1"/>
    </xf>
    <xf numFmtId="0" fontId="7" fillId="33" borderId="16" xfId="0" applyNumberFormat="1" applyFont="1" applyFill="1" applyBorder="1" applyAlignment="1">
      <alignment horizontal="center" vertical="center" wrapText="1"/>
    </xf>
    <xf numFmtId="0" fontId="7" fillId="33" borderId="13" xfId="0" applyNumberFormat="1" applyFont="1" applyFill="1" applyBorder="1" applyAlignment="1">
      <alignment horizontal="center" vertical="center" wrapText="1"/>
    </xf>
    <xf numFmtId="49" fontId="12" fillId="34" borderId="11" xfId="0" applyNumberFormat="1" applyFont="1" applyFill="1" applyBorder="1" applyAlignment="1" applyProtection="1">
      <alignment horizontal="center" vertical="center" wrapText="1"/>
      <protection/>
    </xf>
    <xf numFmtId="49" fontId="7" fillId="34" borderId="11" xfId="0" applyNumberFormat="1" applyFont="1" applyFill="1" applyBorder="1" applyAlignment="1" applyProtection="1">
      <alignment horizontal="center" vertical="center" wrapText="1"/>
      <protection/>
    </xf>
    <xf numFmtId="49" fontId="7" fillId="33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33" borderId="14" xfId="0" applyNumberFormat="1" applyFont="1" applyFill="1" applyBorder="1" applyAlignment="1" applyProtection="1">
      <alignment horizontal="center" vertical="center" wrapText="1"/>
      <protection/>
    </xf>
    <xf numFmtId="49" fontId="7" fillId="33" borderId="17" xfId="0" applyNumberFormat="1" applyFont="1" applyFill="1" applyBorder="1" applyAlignment="1" applyProtection="1">
      <alignment horizontal="center" vertical="center" wrapText="1"/>
      <protection/>
    </xf>
    <xf numFmtId="1" fontId="7" fillId="33" borderId="15" xfId="0" applyNumberFormat="1" applyFont="1" applyFill="1" applyBorder="1" applyAlignment="1">
      <alignment horizontal="center" vertical="center" wrapText="1"/>
    </xf>
    <xf numFmtId="1" fontId="7" fillId="33" borderId="16" xfId="0" applyNumberFormat="1" applyFont="1" applyFill="1" applyBorder="1" applyAlignment="1">
      <alignment horizontal="center" vertical="center" wrapText="1"/>
    </xf>
    <xf numFmtId="1" fontId="7" fillId="33" borderId="13" xfId="0" applyNumberFormat="1" applyFont="1" applyFill="1" applyBorder="1" applyAlignment="1">
      <alignment horizontal="center" vertical="center" wrapText="1"/>
    </xf>
    <xf numFmtId="49" fontId="7" fillId="33" borderId="15" xfId="0" applyNumberFormat="1" applyFont="1" applyFill="1" applyBorder="1" applyAlignment="1" applyProtection="1">
      <alignment horizontal="center" vertical="center" wrapText="1"/>
      <protection/>
    </xf>
    <xf numFmtId="49" fontId="7" fillId="33" borderId="16" xfId="0" applyNumberFormat="1" applyFont="1" applyFill="1" applyBorder="1" applyAlignment="1" applyProtection="1">
      <alignment horizontal="center" vertical="center" wrapText="1"/>
      <protection/>
    </xf>
    <xf numFmtId="49" fontId="7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5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right"/>
    </xf>
    <xf numFmtId="49" fontId="15" fillId="0" borderId="15" xfId="0" applyNumberFormat="1" applyFont="1" applyFill="1" applyBorder="1" applyAlignment="1" applyProtection="1">
      <alignment horizontal="center" vertical="center" wrapText="1"/>
      <protection/>
    </xf>
    <xf numFmtId="49" fontId="15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42" borderId="11" xfId="0" applyFont="1" applyFill="1" applyBorder="1" applyAlignment="1">
      <alignment horizontal="center"/>
    </xf>
    <xf numFmtId="0" fontId="15" fillId="42" borderId="14" xfId="0" applyFont="1" applyFill="1" applyBorder="1" applyAlignment="1">
      <alignment horizontal="center"/>
    </xf>
    <xf numFmtId="0" fontId="15" fillId="43" borderId="11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2962275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2962275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2962275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4" name="Text Box 1"/>
        <xdr:cNvSpPr txBox="1">
          <a:spLocks noChangeArrowheads="1"/>
        </xdr:cNvSpPr>
      </xdr:nvSpPr>
      <xdr:spPr>
        <a:xfrm>
          <a:off x="2962275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5" name="Text Box 1"/>
        <xdr:cNvSpPr txBox="1">
          <a:spLocks noChangeArrowheads="1"/>
        </xdr:cNvSpPr>
      </xdr:nvSpPr>
      <xdr:spPr>
        <a:xfrm>
          <a:off x="2962275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6" name="Text Box 1"/>
        <xdr:cNvSpPr txBox="1">
          <a:spLocks noChangeArrowheads="1"/>
        </xdr:cNvSpPr>
      </xdr:nvSpPr>
      <xdr:spPr>
        <a:xfrm>
          <a:off x="2962275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2514600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2514600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2514600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\Desktop\Bieu%20mau%20thong%20ke%2021.11.201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ao%20Cao%20Thong%20Ke\Cuc\Cuc%202021\Ha%20Nam%20BCTK%2012%20thang%202021%20TT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T"/>
      <sheetName val="01"/>
      <sheetName val="PT01"/>
      <sheetName val="02"/>
      <sheetName val="02 (bỏ)"/>
      <sheetName val="PT02"/>
      <sheetName val="03"/>
      <sheetName val="03 (bỏ)"/>
      <sheetName val="04"/>
      <sheetName val="04 (bỏ)"/>
      <sheetName val="05"/>
      <sheetName val="05 (bỏ)"/>
      <sheetName val="06"/>
      <sheetName val="07"/>
      <sheetName val="08"/>
      <sheetName val="09"/>
      <sheetName val="10"/>
      <sheetName val="11"/>
      <sheetName val="12"/>
      <sheetName val="PLChuaDieuKien"/>
    </sheetNames>
    <sheetDataSet>
      <sheetData sheetId="0">
        <row r="2">
          <cell r="C2" t="str">
            <v>Đơn vị  báo cáo: 
Đơn vị nhận báo cáo: </v>
          </cell>
        </row>
        <row r="6">
          <cell r="C6" t="str">
            <v>TRẦN ĐỨC TOẢN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T"/>
      <sheetName val="01"/>
      <sheetName val="PT01"/>
      <sheetName val="02"/>
      <sheetName val="PT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PLChuaDieuKien"/>
    </sheetNames>
    <sheetDataSet>
      <sheetData sheetId="0">
        <row r="3">
          <cell r="C3" t="str">
            <v>Vũ Ngọc Phương</v>
          </cell>
        </row>
        <row r="5">
          <cell r="C5" t="str">
            <v>PHÓ CỤC TRƯỞNG</v>
          </cell>
        </row>
      </sheetData>
      <sheetData sheetId="1">
        <row r="12">
          <cell r="Q12">
            <v>10</v>
          </cell>
        </row>
        <row r="14">
          <cell r="E14">
            <v>0</v>
          </cell>
          <cell r="Q14">
            <v>0</v>
          </cell>
        </row>
        <row r="17">
          <cell r="Q17">
            <v>1</v>
          </cell>
        </row>
        <row r="18">
          <cell r="Q18">
            <v>18</v>
          </cell>
        </row>
        <row r="19">
          <cell r="Q19">
            <v>0</v>
          </cell>
        </row>
        <row r="20">
          <cell r="E20">
            <v>0</v>
          </cell>
          <cell r="Q20">
            <v>0</v>
          </cell>
        </row>
        <row r="21">
          <cell r="E21">
            <v>0</v>
          </cell>
          <cell r="Q21">
            <v>0</v>
          </cell>
        </row>
        <row r="22">
          <cell r="E22">
            <v>0</v>
          </cell>
          <cell r="Q22">
            <v>0</v>
          </cell>
        </row>
        <row r="28">
          <cell r="E28">
            <v>0</v>
          </cell>
          <cell r="Q28">
            <v>0</v>
          </cell>
        </row>
        <row r="29">
          <cell r="E29">
            <v>0</v>
          </cell>
          <cell r="Q29">
            <v>0</v>
          </cell>
        </row>
        <row r="31">
          <cell r="Q31">
            <v>0</v>
          </cell>
        </row>
        <row r="32">
          <cell r="Q32">
            <v>12</v>
          </cell>
        </row>
        <row r="33">
          <cell r="E33">
            <v>1</v>
          </cell>
          <cell r="Q33">
            <v>0</v>
          </cell>
        </row>
        <row r="34">
          <cell r="E34">
            <v>0</v>
          </cell>
          <cell r="Q34">
            <v>0</v>
          </cell>
        </row>
        <row r="35">
          <cell r="E35">
            <v>0</v>
          </cell>
          <cell r="Q35">
            <v>0</v>
          </cell>
        </row>
        <row r="36">
          <cell r="E36">
            <v>0</v>
          </cell>
          <cell r="Q36">
            <v>0</v>
          </cell>
        </row>
        <row r="37">
          <cell r="E37">
            <v>0</v>
          </cell>
          <cell r="Q37">
            <v>0</v>
          </cell>
        </row>
      </sheetData>
      <sheetData sheetId="3">
        <row r="13">
          <cell r="Q13">
            <v>0</v>
          </cell>
        </row>
        <row r="14">
          <cell r="Q14">
            <v>0</v>
          </cell>
        </row>
        <row r="17">
          <cell r="Q17">
            <v>2715</v>
          </cell>
        </row>
        <row r="19">
          <cell r="D19">
            <v>17710</v>
          </cell>
          <cell r="Q19">
            <v>0</v>
          </cell>
        </row>
        <row r="20">
          <cell r="D20">
            <v>0</v>
          </cell>
          <cell r="Q20">
            <v>0</v>
          </cell>
        </row>
        <row r="21">
          <cell r="D21">
            <v>0</v>
          </cell>
          <cell r="Q21">
            <v>0</v>
          </cell>
        </row>
        <row r="22">
          <cell r="D22">
            <v>0</v>
          </cell>
          <cell r="Q22">
            <v>0</v>
          </cell>
        </row>
        <row r="23">
          <cell r="Q23">
            <v>5524062</v>
          </cell>
        </row>
        <row r="28">
          <cell r="D28">
            <v>0</v>
          </cell>
          <cell r="Q28">
            <v>0</v>
          </cell>
        </row>
        <row r="29">
          <cell r="D29">
            <v>0</v>
          </cell>
          <cell r="Q29">
            <v>0</v>
          </cell>
        </row>
        <row r="31">
          <cell r="Q31">
            <v>0</v>
          </cell>
        </row>
        <row r="33">
          <cell r="Q33">
            <v>0</v>
          </cell>
        </row>
        <row r="34">
          <cell r="D34">
            <v>0</v>
          </cell>
          <cell r="Q34">
            <v>0</v>
          </cell>
        </row>
        <row r="35">
          <cell r="D35">
            <v>0</v>
          </cell>
          <cell r="Q35">
            <v>0</v>
          </cell>
        </row>
        <row r="36">
          <cell r="D36">
            <v>0</v>
          </cell>
          <cell r="Q36">
            <v>0</v>
          </cell>
        </row>
        <row r="37">
          <cell r="D37">
            <v>0</v>
          </cell>
          <cell r="Q37">
            <v>0</v>
          </cell>
        </row>
      </sheetData>
      <sheetData sheetId="7">
        <row r="9">
          <cell r="T9">
            <v>961156011</v>
          </cell>
        </row>
      </sheetData>
      <sheetData sheetId="15">
        <row r="6">
          <cell r="H6">
            <v>6971931</v>
          </cell>
        </row>
        <row r="20">
          <cell r="H20">
            <v>18631971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53"/>
  <sheetViews>
    <sheetView view="pageBreakPreview" zoomScaleSheetLayoutView="100" zoomScalePageLayoutView="0" workbookViewId="0" topLeftCell="B1">
      <selection activeCell="E28" sqref="E28:E32"/>
    </sheetView>
  </sheetViews>
  <sheetFormatPr defaultColWidth="9.00390625" defaultRowHeight="15.75"/>
  <cols>
    <col min="1" max="1" width="4.125" style="2" customWidth="1"/>
    <col min="2" max="2" width="20.875" style="75" customWidth="1"/>
    <col min="3" max="3" width="6.625" style="2" customWidth="1"/>
    <col min="4" max="4" width="7.25390625" style="2" customWidth="1"/>
    <col min="5" max="5" width="8.375" style="6" customWidth="1"/>
    <col min="6" max="6" width="6.75390625" style="2" customWidth="1"/>
    <col min="7" max="7" width="6.50390625" style="2" customWidth="1"/>
    <col min="8" max="8" width="5.375" style="7" customWidth="1"/>
    <col min="9" max="9" width="8.375" style="2" customWidth="1"/>
    <col min="10" max="10" width="6.75390625" style="2" customWidth="1"/>
    <col min="11" max="11" width="6.625" style="2" customWidth="1"/>
    <col min="12" max="13" width="7.125" style="76" customWidth="1"/>
    <col min="14" max="14" width="7.375" style="77" customWidth="1"/>
    <col min="15" max="15" width="6.50390625" style="11" customWidth="1"/>
    <col min="16" max="16" width="5.625" style="77" customWidth="1"/>
    <col min="17" max="17" width="7.00390625" style="78" customWidth="1"/>
    <col min="18" max="18" width="7.00390625" style="79" customWidth="1"/>
    <col min="19" max="19" width="5.75390625" style="80" customWidth="1"/>
    <col min="20" max="20" width="7.25390625" style="80" customWidth="1"/>
    <col min="21" max="21" width="7.125" style="80" customWidth="1"/>
    <col min="22" max="22" width="4.875" style="1" hidden="1" customWidth="1"/>
    <col min="23" max="23" width="5.125" style="1" hidden="1" customWidth="1"/>
    <col min="24" max="24" width="9.00390625" style="1" customWidth="1"/>
    <col min="25" max="16384" width="9.00390625" style="2" customWidth="1"/>
  </cols>
  <sheetData>
    <row r="1" spans="1:21" ht="65.25" customHeight="1">
      <c r="A1" s="162" t="s">
        <v>0</v>
      </c>
      <c r="B1" s="162"/>
      <c r="C1" s="162"/>
      <c r="D1" s="162"/>
      <c r="E1" s="163" t="s">
        <v>116</v>
      </c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4" t="str">
        <f>'[1]TT'!C2</f>
        <v>Đơn vị  báo cáo: 
Đơn vị nhận báo cáo: </v>
      </c>
      <c r="Q1" s="164"/>
      <c r="R1" s="164"/>
      <c r="S1" s="164"/>
      <c r="T1" s="164"/>
      <c r="U1" s="164"/>
    </row>
    <row r="2" spans="1:21" ht="17.25" customHeight="1">
      <c r="A2" s="3"/>
      <c r="B2" s="4"/>
      <c r="C2" s="5"/>
      <c r="D2" s="5"/>
      <c r="F2" s="7"/>
      <c r="G2" s="7"/>
      <c r="I2" s="8"/>
      <c r="J2" s="8"/>
      <c r="K2" s="8"/>
      <c r="L2" s="9"/>
      <c r="M2" s="10"/>
      <c r="N2" s="11"/>
      <c r="P2" s="165" t="s">
        <v>1</v>
      </c>
      <c r="Q2" s="165"/>
      <c r="R2" s="165"/>
      <c r="S2" s="165"/>
      <c r="T2" s="165"/>
      <c r="U2" s="165"/>
    </row>
    <row r="3" spans="1:24" s="13" customFormat="1" ht="15.75" customHeight="1">
      <c r="A3" s="166" t="s">
        <v>2</v>
      </c>
      <c r="B3" s="166" t="s">
        <v>3</v>
      </c>
      <c r="C3" s="169" t="s">
        <v>4</v>
      </c>
      <c r="D3" s="170" t="s">
        <v>5</v>
      </c>
      <c r="E3" s="170" t="s">
        <v>6</v>
      </c>
      <c r="F3" s="170"/>
      <c r="G3" s="171" t="s">
        <v>7</v>
      </c>
      <c r="H3" s="172" t="s">
        <v>8</v>
      </c>
      <c r="I3" s="171" t="s">
        <v>9</v>
      </c>
      <c r="J3" s="173" t="s">
        <v>6</v>
      </c>
      <c r="K3" s="174"/>
      <c r="L3" s="174"/>
      <c r="M3" s="174"/>
      <c r="N3" s="174"/>
      <c r="O3" s="174"/>
      <c r="P3" s="174"/>
      <c r="Q3" s="174"/>
      <c r="R3" s="174"/>
      <c r="S3" s="174"/>
      <c r="T3" s="175" t="s">
        <v>10</v>
      </c>
      <c r="U3" s="178" t="s">
        <v>11</v>
      </c>
      <c r="V3" s="12"/>
      <c r="W3" s="12"/>
      <c r="X3" s="12"/>
    </row>
    <row r="4" spans="1:24" s="15" customFormat="1" ht="15.75" customHeight="1">
      <c r="A4" s="167"/>
      <c r="B4" s="167"/>
      <c r="C4" s="169"/>
      <c r="D4" s="170"/>
      <c r="E4" s="180" t="s">
        <v>12</v>
      </c>
      <c r="F4" s="170" t="s">
        <v>13</v>
      </c>
      <c r="G4" s="171"/>
      <c r="H4" s="172"/>
      <c r="I4" s="171"/>
      <c r="J4" s="171" t="s">
        <v>14</v>
      </c>
      <c r="K4" s="170" t="s">
        <v>6</v>
      </c>
      <c r="L4" s="170"/>
      <c r="M4" s="170"/>
      <c r="N4" s="170"/>
      <c r="O4" s="170"/>
      <c r="P4" s="170"/>
      <c r="Q4" s="181" t="s">
        <v>15</v>
      </c>
      <c r="R4" s="172" t="s">
        <v>16</v>
      </c>
      <c r="S4" s="182" t="s">
        <v>17</v>
      </c>
      <c r="T4" s="176"/>
      <c r="U4" s="179"/>
      <c r="V4" s="14"/>
      <c r="W4" s="14"/>
      <c r="X4" s="14"/>
    </row>
    <row r="5" spans="1:24" s="13" customFormat="1" ht="15.75" customHeight="1">
      <c r="A5" s="167"/>
      <c r="B5" s="167"/>
      <c r="C5" s="169"/>
      <c r="D5" s="170"/>
      <c r="E5" s="180"/>
      <c r="F5" s="170"/>
      <c r="G5" s="171"/>
      <c r="H5" s="172"/>
      <c r="I5" s="171"/>
      <c r="J5" s="171"/>
      <c r="K5" s="171" t="s">
        <v>18</v>
      </c>
      <c r="L5" s="183" t="s">
        <v>6</v>
      </c>
      <c r="M5" s="183"/>
      <c r="N5" s="184" t="s">
        <v>19</v>
      </c>
      <c r="O5" s="185" t="s">
        <v>20</v>
      </c>
      <c r="P5" s="184" t="s">
        <v>21</v>
      </c>
      <c r="Q5" s="181"/>
      <c r="R5" s="172"/>
      <c r="S5" s="182"/>
      <c r="T5" s="176"/>
      <c r="U5" s="179"/>
      <c r="V5" s="12"/>
      <c r="W5" s="12"/>
      <c r="X5" s="12"/>
    </row>
    <row r="6" spans="1:24" s="13" customFormat="1" ht="15.75" customHeight="1">
      <c r="A6" s="167"/>
      <c r="B6" s="167"/>
      <c r="C6" s="169"/>
      <c r="D6" s="170"/>
      <c r="E6" s="180"/>
      <c r="F6" s="170"/>
      <c r="G6" s="171"/>
      <c r="H6" s="172"/>
      <c r="I6" s="171"/>
      <c r="J6" s="171"/>
      <c r="K6" s="171"/>
      <c r="L6" s="183"/>
      <c r="M6" s="183"/>
      <c r="N6" s="184"/>
      <c r="O6" s="185"/>
      <c r="P6" s="184"/>
      <c r="Q6" s="181"/>
      <c r="R6" s="172"/>
      <c r="S6" s="182"/>
      <c r="T6" s="176"/>
      <c r="U6" s="179"/>
      <c r="V6" s="12"/>
      <c r="W6" s="12"/>
      <c r="X6" s="12"/>
    </row>
    <row r="7" spans="1:24" s="13" customFormat="1" ht="44.25" customHeight="1">
      <c r="A7" s="168"/>
      <c r="B7" s="168"/>
      <c r="C7" s="169"/>
      <c r="D7" s="170"/>
      <c r="E7" s="180"/>
      <c r="F7" s="170"/>
      <c r="G7" s="171"/>
      <c r="H7" s="172"/>
      <c r="I7" s="171"/>
      <c r="J7" s="171"/>
      <c r="K7" s="171"/>
      <c r="L7" s="16" t="s">
        <v>22</v>
      </c>
      <c r="M7" s="16" t="s">
        <v>23</v>
      </c>
      <c r="N7" s="184"/>
      <c r="O7" s="185"/>
      <c r="P7" s="184"/>
      <c r="Q7" s="181"/>
      <c r="R7" s="172"/>
      <c r="S7" s="182"/>
      <c r="T7" s="177"/>
      <c r="U7" s="179"/>
      <c r="V7" s="12"/>
      <c r="W7" s="17"/>
      <c r="X7" s="12"/>
    </row>
    <row r="8" spans="1:21" ht="14.25" customHeight="1">
      <c r="A8" s="188" t="s">
        <v>24</v>
      </c>
      <c r="B8" s="189"/>
      <c r="C8" s="18" t="s">
        <v>25</v>
      </c>
      <c r="D8" s="18" t="s">
        <v>26</v>
      </c>
      <c r="E8" s="19" t="s">
        <v>27</v>
      </c>
      <c r="F8" s="18" t="s">
        <v>28</v>
      </c>
      <c r="G8" s="18" t="s">
        <v>29</v>
      </c>
      <c r="H8" s="20" t="s">
        <v>30</v>
      </c>
      <c r="I8" s="18" t="s">
        <v>31</v>
      </c>
      <c r="J8" s="18" t="s">
        <v>32</v>
      </c>
      <c r="K8" s="18" t="s">
        <v>33</v>
      </c>
      <c r="L8" s="21" t="s">
        <v>34</v>
      </c>
      <c r="M8" s="21" t="s">
        <v>35</v>
      </c>
      <c r="N8" s="21" t="s">
        <v>36</v>
      </c>
      <c r="O8" s="22" t="s">
        <v>37</v>
      </c>
      <c r="P8" s="21" t="s">
        <v>38</v>
      </c>
      <c r="Q8" s="19" t="s">
        <v>39</v>
      </c>
      <c r="R8" s="20" t="s">
        <v>40</v>
      </c>
      <c r="S8" s="18" t="s">
        <v>41</v>
      </c>
      <c r="T8" s="18" t="s">
        <v>42</v>
      </c>
      <c r="U8" s="18" t="s">
        <v>43</v>
      </c>
    </row>
    <row r="9" spans="1:24" s="30" customFormat="1" ht="16.5" customHeight="1">
      <c r="A9" s="170" t="s">
        <v>44</v>
      </c>
      <c r="B9" s="170"/>
      <c r="C9" s="23">
        <f>C10+C16</f>
        <v>265</v>
      </c>
      <c r="D9" s="23">
        <f>E9+F9</f>
        <v>1225</v>
      </c>
      <c r="E9" s="24">
        <f>SUM(E10,E16)</f>
        <v>855</v>
      </c>
      <c r="F9" s="25">
        <f>SUM(F10,F16)</f>
        <v>370</v>
      </c>
      <c r="G9" s="25">
        <f>SUM(G10,G16)</f>
        <v>7</v>
      </c>
      <c r="H9" s="23">
        <f>SUM(H10:H16)</f>
        <v>0</v>
      </c>
      <c r="I9" s="23">
        <f>SUM(I11:I16)</f>
        <v>1218</v>
      </c>
      <c r="J9" s="23">
        <f aca="true" t="shared" si="0" ref="J9:T9">SUM(J11:J16)</f>
        <v>808</v>
      </c>
      <c r="K9" s="23">
        <f t="shared" si="0"/>
        <v>204</v>
      </c>
      <c r="L9" s="23">
        <f t="shared" si="0"/>
        <v>202</v>
      </c>
      <c r="M9" s="23">
        <f t="shared" si="0"/>
        <v>2</v>
      </c>
      <c r="N9" s="23">
        <f t="shared" si="0"/>
        <v>600</v>
      </c>
      <c r="O9" s="23">
        <f t="shared" si="0"/>
        <v>0</v>
      </c>
      <c r="P9" s="23">
        <f t="shared" si="0"/>
        <v>4</v>
      </c>
      <c r="Q9" s="26">
        <f t="shared" si="0"/>
        <v>407</v>
      </c>
      <c r="R9" s="23">
        <f t="shared" si="0"/>
        <v>0</v>
      </c>
      <c r="S9" s="23">
        <f t="shared" si="0"/>
        <v>3</v>
      </c>
      <c r="T9" s="23">
        <f t="shared" si="0"/>
        <v>1014</v>
      </c>
      <c r="U9" s="27">
        <f aca="true" t="shared" si="1" ref="U9:U48">IF(J9&lt;&gt;0,K9/J9,"")</f>
        <v>0.2524752475247525</v>
      </c>
      <c r="V9" s="28" t="str">
        <f>IF(I9=C9-G9-H9,I9,"KT lai")</f>
        <v>KT lai</v>
      </c>
      <c r="W9" s="29" t="s">
        <v>45</v>
      </c>
      <c r="X9" s="28"/>
    </row>
    <row r="10" spans="1:24" s="42" customFormat="1" ht="21.75" customHeight="1">
      <c r="A10" s="31" t="s">
        <v>46</v>
      </c>
      <c r="B10" s="32" t="s">
        <v>47</v>
      </c>
      <c r="C10" s="33">
        <f>SUM(C11:C15)</f>
        <v>17</v>
      </c>
      <c r="D10" s="33">
        <f>F10+E10</f>
        <v>110</v>
      </c>
      <c r="E10" s="34">
        <f>SUM(E11:E15)</f>
        <v>89</v>
      </c>
      <c r="F10" s="35">
        <f>SUM(F11:F15)</f>
        <v>21</v>
      </c>
      <c r="G10" s="35">
        <f>SUM(G11:G15)</f>
        <v>1</v>
      </c>
      <c r="H10" s="35">
        <f>SUM(H11:H15)</f>
        <v>0</v>
      </c>
      <c r="I10" s="33">
        <f>D10-G10-H10</f>
        <v>109</v>
      </c>
      <c r="J10" s="33">
        <f>L10+M10+N10+P10</f>
        <v>74</v>
      </c>
      <c r="K10" s="33">
        <f>M10+L10</f>
        <v>17</v>
      </c>
      <c r="L10" s="36">
        <f>SUM(L11:L15)</f>
        <v>17</v>
      </c>
      <c r="M10" s="36">
        <f>SUM(M11:M15)</f>
        <v>0</v>
      </c>
      <c r="N10" s="36">
        <f>SUM(N11:N15)</f>
        <v>57</v>
      </c>
      <c r="O10" s="36">
        <f>SUM(O11:O15)</f>
        <v>0</v>
      </c>
      <c r="P10" s="35">
        <f>SUM(P11:P15)</f>
        <v>0</v>
      </c>
      <c r="Q10" s="37">
        <f aca="true" t="shared" si="2" ref="Q10:Q48">I10-J10-R10-S10</f>
        <v>35</v>
      </c>
      <c r="R10" s="35">
        <f>SUM(R11:R15)</f>
        <v>0</v>
      </c>
      <c r="S10" s="35">
        <f>SUM(S11:S15)</f>
        <v>0</v>
      </c>
      <c r="T10" s="38">
        <f aca="true" t="shared" si="3" ref="T10:T48">N10+O10+P10+Q10+R10+S10</f>
        <v>92</v>
      </c>
      <c r="U10" s="39">
        <f t="shared" si="1"/>
        <v>0.22972972972972974</v>
      </c>
      <c r="V10" s="28">
        <f aca="true" t="shared" si="4" ref="V10:V48">IF(I10=D10-G10-H10,I10,"KT lai")</f>
        <v>109</v>
      </c>
      <c r="W10" s="41">
        <f aca="true" t="shared" si="5" ref="W10:W48">J10+Q10+S10</f>
        <v>109</v>
      </c>
      <c r="X10" s="41">
        <f>V10-W10</f>
        <v>0</v>
      </c>
    </row>
    <row r="11" spans="1:24" s="30" customFormat="1" ht="20.25" customHeight="1">
      <c r="A11" s="43">
        <v>1.1</v>
      </c>
      <c r="B11" s="44" t="s">
        <v>48</v>
      </c>
      <c r="C11" s="23">
        <v>4</v>
      </c>
      <c r="D11" s="34">
        <f aca="true" t="shared" si="6" ref="D11:D48">F11+E11</f>
        <v>27</v>
      </c>
      <c r="E11" s="45">
        <v>23</v>
      </c>
      <c r="F11" s="48">
        <v>4</v>
      </c>
      <c r="G11" s="48"/>
      <c r="H11" s="48">
        <v>0</v>
      </c>
      <c r="I11" s="34">
        <f aca="true" t="shared" si="7" ref="I11:I48">D11-G11-H11</f>
        <v>27</v>
      </c>
      <c r="J11" s="34">
        <f aca="true" t="shared" si="8" ref="J11:J48">L11+M11+N11+P11</f>
        <v>13</v>
      </c>
      <c r="K11" s="34">
        <f aca="true" t="shared" si="9" ref="K11:K48">M11+L11</f>
        <v>4</v>
      </c>
      <c r="L11" s="48">
        <v>4</v>
      </c>
      <c r="M11" s="48">
        <v>0</v>
      </c>
      <c r="N11" s="48">
        <v>9</v>
      </c>
      <c r="O11" s="48">
        <v>0</v>
      </c>
      <c r="P11" s="48">
        <v>0</v>
      </c>
      <c r="Q11" s="46">
        <f t="shared" si="2"/>
        <v>14</v>
      </c>
      <c r="R11" s="47"/>
      <c r="S11" s="48">
        <v>0</v>
      </c>
      <c r="T11" s="48">
        <f t="shared" si="3"/>
        <v>23</v>
      </c>
      <c r="U11" s="27">
        <f t="shared" si="1"/>
        <v>0.3076923076923077</v>
      </c>
      <c r="V11" s="28">
        <f t="shared" si="4"/>
        <v>27</v>
      </c>
      <c r="W11" s="29">
        <f t="shared" si="5"/>
        <v>27</v>
      </c>
      <c r="X11" s="41">
        <f aca="true" t="shared" si="10" ref="X11:X48">V11-W11</f>
        <v>0</v>
      </c>
    </row>
    <row r="12" spans="1:24" s="30" customFormat="1" ht="20.25" customHeight="1">
      <c r="A12" s="43">
        <v>1.2</v>
      </c>
      <c r="B12" s="44" t="s">
        <v>49</v>
      </c>
      <c r="C12" s="23">
        <v>3</v>
      </c>
      <c r="D12" s="34">
        <f t="shared" si="6"/>
        <v>22</v>
      </c>
      <c r="E12" s="45">
        <v>17</v>
      </c>
      <c r="F12" s="48">
        <v>5</v>
      </c>
      <c r="G12" s="48">
        <v>1</v>
      </c>
      <c r="H12" s="48">
        <v>0</v>
      </c>
      <c r="I12" s="34">
        <f t="shared" si="7"/>
        <v>21</v>
      </c>
      <c r="J12" s="34">
        <f t="shared" si="8"/>
        <v>17</v>
      </c>
      <c r="K12" s="34">
        <f t="shared" si="9"/>
        <v>6</v>
      </c>
      <c r="L12" s="48">
        <v>6</v>
      </c>
      <c r="M12" s="48">
        <v>0</v>
      </c>
      <c r="N12" s="48">
        <v>11</v>
      </c>
      <c r="O12" s="48">
        <v>0</v>
      </c>
      <c r="P12" s="48">
        <v>0</v>
      </c>
      <c r="Q12" s="46">
        <f t="shared" si="2"/>
        <v>4</v>
      </c>
      <c r="R12" s="47"/>
      <c r="S12" s="48">
        <v>0</v>
      </c>
      <c r="T12" s="48">
        <f t="shared" si="3"/>
        <v>15</v>
      </c>
      <c r="U12" s="27">
        <f t="shared" si="1"/>
        <v>0.35294117647058826</v>
      </c>
      <c r="V12" s="28">
        <f t="shared" si="4"/>
        <v>21</v>
      </c>
      <c r="W12" s="29">
        <f t="shared" si="5"/>
        <v>21</v>
      </c>
      <c r="X12" s="41">
        <f t="shared" si="10"/>
        <v>0</v>
      </c>
    </row>
    <row r="13" spans="1:24" s="30" customFormat="1" ht="20.25" customHeight="1">
      <c r="A13" s="43">
        <v>1.3</v>
      </c>
      <c r="B13" s="44" t="s">
        <v>50</v>
      </c>
      <c r="C13" s="23">
        <v>5</v>
      </c>
      <c r="D13" s="34">
        <f t="shared" si="6"/>
        <v>18</v>
      </c>
      <c r="E13" s="45">
        <v>13</v>
      </c>
      <c r="F13" s="48">
        <v>5</v>
      </c>
      <c r="G13" s="48">
        <v>0</v>
      </c>
      <c r="H13" s="48">
        <v>0</v>
      </c>
      <c r="I13" s="34">
        <f t="shared" si="7"/>
        <v>18</v>
      </c>
      <c r="J13" s="34">
        <f t="shared" si="8"/>
        <v>14</v>
      </c>
      <c r="K13" s="34">
        <f t="shared" si="9"/>
        <v>1</v>
      </c>
      <c r="L13" s="48">
        <v>1</v>
      </c>
      <c r="M13" s="48">
        <v>0</v>
      </c>
      <c r="N13" s="48">
        <v>13</v>
      </c>
      <c r="O13" s="48">
        <v>0</v>
      </c>
      <c r="P13" s="48">
        <v>0</v>
      </c>
      <c r="Q13" s="46">
        <f t="shared" si="2"/>
        <v>4</v>
      </c>
      <c r="R13" s="47"/>
      <c r="S13" s="48">
        <v>0</v>
      </c>
      <c r="T13" s="48">
        <f t="shared" si="3"/>
        <v>17</v>
      </c>
      <c r="U13" s="27">
        <f t="shared" si="1"/>
        <v>0.07142857142857142</v>
      </c>
      <c r="V13" s="28">
        <f t="shared" si="4"/>
        <v>18</v>
      </c>
      <c r="W13" s="29">
        <f t="shared" si="5"/>
        <v>18</v>
      </c>
      <c r="X13" s="41">
        <f t="shared" si="10"/>
        <v>0</v>
      </c>
    </row>
    <row r="14" spans="1:24" s="30" customFormat="1" ht="20.25" customHeight="1">
      <c r="A14" s="43">
        <v>1.4</v>
      </c>
      <c r="B14" s="44" t="s">
        <v>51</v>
      </c>
      <c r="C14" s="23">
        <v>4</v>
      </c>
      <c r="D14" s="34">
        <f>F14+E14</f>
        <v>16</v>
      </c>
      <c r="E14" s="45">
        <v>10</v>
      </c>
      <c r="F14" s="48">
        <v>6</v>
      </c>
      <c r="G14" s="48">
        <v>0</v>
      </c>
      <c r="H14" s="48">
        <v>0</v>
      </c>
      <c r="I14" s="34">
        <f>D14-G14-H14</f>
        <v>16</v>
      </c>
      <c r="J14" s="34">
        <f>L14+M14+N14+P14</f>
        <v>12</v>
      </c>
      <c r="K14" s="34">
        <f>M14+L14</f>
        <v>4</v>
      </c>
      <c r="L14" s="48">
        <v>4</v>
      </c>
      <c r="M14" s="48">
        <v>0</v>
      </c>
      <c r="N14" s="48">
        <v>8</v>
      </c>
      <c r="O14" s="48">
        <v>0</v>
      </c>
      <c r="P14" s="48">
        <v>0</v>
      </c>
      <c r="Q14" s="46">
        <f t="shared" si="2"/>
        <v>4</v>
      </c>
      <c r="R14" s="47"/>
      <c r="S14" s="48">
        <v>0</v>
      </c>
      <c r="T14" s="48">
        <f>N14+O14+P14+Q14+R14+S14</f>
        <v>12</v>
      </c>
      <c r="U14" s="27">
        <f>IF(J14&lt;&gt;0,K14/J14,"")</f>
        <v>0.3333333333333333</v>
      </c>
      <c r="V14" s="28">
        <f t="shared" si="4"/>
        <v>16</v>
      </c>
      <c r="W14" s="29">
        <f>J14+Q14+S14</f>
        <v>16</v>
      </c>
      <c r="X14" s="41">
        <f t="shared" si="10"/>
        <v>0</v>
      </c>
    </row>
    <row r="15" spans="1:24" s="30" customFormat="1" ht="20.25" customHeight="1">
      <c r="A15" s="43">
        <v>1.5</v>
      </c>
      <c r="B15" s="44" t="s">
        <v>117</v>
      </c>
      <c r="C15" s="23">
        <v>1</v>
      </c>
      <c r="D15" s="34">
        <f>F15+E15</f>
        <v>27</v>
      </c>
      <c r="E15" s="45">
        <v>26</v>
      </c>
      <c r="F15" s="48">
        <v>1</v>
      </c>
      <c r="G15" s="48">
        <v>0</v>
      </c>
      <c r="H15" s="48">
        <v>0</v>
      </c>
      <c r="I15" s="34">
        <f>D15-G15-H15</f>
        <v>27</v>
      </c>
      <c r="J15" s="34">
        <f>L15+M15+N15+P15</f>
        <v>18</v>
      </c>
      <c r="K15" s="34">
        <f>M15+L15</f>
        <v>2</v>
      </c>
      <c r="L15" s="48">
        <v>2</v>
      </c>
      <c r="M15" s="48">
        <v>0</v>
      </c>
      <c r="N15" s="48">
        <v>16</v>
      </c>
      <c r="O15" s="48">
        <v>0</v>
      </c>
      <c r="P15" s="48">
        <v>0</v>
      </c>
      <c r="Q15" s="46">
        <f t="shared" si="2"/>
        <v>9</v>
      </c>
      <c r="R15" s="47"/>
      <c r="S15" s="48">
        <v>0</v>
      </c>
      <c r="T15" s="48">
        <f>N15+O15+P15+Q15+R15+S15</f>
        <v>25</v>
      </c>
      <c r="U15" s="27">
        <f>IF(J15&lt;&gt;0,K15/J15,"")</f>
        <v>0.1111111111111111</v>
      </c>
      <c r="V15" s="28">
        <f t="shared" si="4"/>
        <v>27</v>
      </c>
      <c r="W15" s="29">
        <f>J15+Q15+S15</f>
        <v>27</v>
      </c>
      <c r="X15" s="41">
        <f t="shared" si="10"/>
        <v>0</v>
      </c>
    </row>
    <row r="16" spans="1:24" s="42" customFormat="1" ht="22.5" customHeight="1">
      <c r="A16" s="31" t="s">
        <v>52</v>
      </c>
      <c r="B16" s="32" t="s">
        <v>53</v>
      </c>
      <c r="C16" s="33">
        <f>C17+C22+C27+C39+C44</f>
        <v>248</v>
      </c>
      <c r="D16" s="33">
        <f>D17+D22+D27+D33+D39+D44</f>
        <v>1115</v>
      </c>
      <c r="E16" s="35">
        <f>SUM(E17,E22,E27,E33,E39,E44)</f>
        <v>766</v>
      </c>
      <c r="F16" s="35">
        <f>SUM(F17,F22,F27,F33,F39,F44)</f>
        <v>349</v>
      </c>
      <c r="G16" s="35">
        <f>SUM(G17,G22,G27,G33,G39,G44)</f>
        <v>6</v>
      </c>
      <c r="H16" s="35">
        <f>SUM(H17,H22,H27,H33,H39,H44)</f>
        <v>0</v>
      </c>
      <c r="I16" s="33">
        <f t="shared" si="7"/>
        <v>1109</v>
      </c>
      <c r="J16" s="33">
        <f t="shared" si="8"/>
        <v>734</v>
      </c>
      <c r="K16" s="33">
        <f t="shared" si="9"/>
        <v>187</v>
      </c>
      <c r="L16" s="35">
        <f>SUM(L17,L22,L27,L33,L39,L44)</f>
        <v>185</v>
      </c>
      <c r="M16" s="35">
        <f>SUM(M17,M22,M27,M33,M39,M44)</f>
        <v>2</v>
      </c>
      <c r="N16" s="35">
        <f>SUM(N17,N22,N27,N33,N39,N44)</f>
        <v>543</v>
      </c>
      <c r="O16" s="35">
        <f>SUM(O17,O22,O27,O33,O39,O44)</f>
        <v>0</v>
      </c>
      <c r="P16" s="35">
        <f>SUM(P17,P22,P27,P33,P39,P44)</f>
        <v>4</v>
      </c>
      <c r="Q16" s="37">
        <f t="shared" si="2"/>
        <v>372</v>
      </c>
      <c r="R16" s="33">
        <f>R17+R22+R27+R33+R39+R44</f>
        <v>0</v>
      </c>
      <c r="S16" s="35">
        <f>SUM(S17,S22,S27,S33,S39,S44)</f>
        <v>3</v>
      </c>
      <c r="T16" s="33">
        <f>T17+T22+T27+T33+T39+T44</f>
        <v>922</v>
      </c>
      <c r="U16" s="39">
        <f t="shared" si="1"/>
        <v>0.2547683923705722</v>
      </c>
      <c r="V16" s="28">
        <f t="shared" si="4"/>
        <v>1109</v>
      </c>
      <c r="W16" s="41">
        <f t="shared" si="5"/>
        <v>1109</v>
      </c>
      <c r="X16" s="41">
        <f t="shared" si="10"/>
        <v>0</v>
      </c>
    </row>
    <row r="17" spans="1:24" s="42" customFormat="1" ht="27.75" customHeight="1">
      <c r="A17" s="49">
        <v>1</v>
      </c>
      <c r="B17" s="32" t="s">
        <v>54</v>
      </c>
      <c r="C17" s="33">
        <f>SUM(C18:C21)</f>
        <v>67</v>
      </c>
      <c r="D17" s="33">
        <f t="shared" si="6"/>
        <v>211</v>
      </c>
      <c r="E17" s="35">
        <f>SUM(E18:E21)</f>
        <v>144</v>
      </c>
      <c r="F17" s="35">
        <f>SUM(F18:F21)</f>
        <v>67</v>
      </c>
      <c r="G17" s="35">
        <f>SUM(G18:G21)</f>
        <v>2</v>
      </c>
      <c r="H17" s="35">
        <f>SUM(H18:H21)</f>
        <v>0</v>
      </c>
      <c r="I17" s="33">
        <f t="shared" si="7"/>
        <v>209</v>
      </c>
      <c r="J17" s="33">
        <f t="shared" si="8"/>
        <v>122</v>
      </c>
      <c r="K17" s="33">
        <f t="shared" si="9"/>
        <v>56</v>
      </c>
      <c r="L17" s="35">
        <f>SUM(L18:L21)</f>
        <v>56</v>
      </c>
      <c r="M17" s="35">
        <f>SUM(M18:M21)</f>
        <v>0</v>
      </c>
      <c r="N17" s="35">
        <f>SUM(N18:N21)</f>
        <v>63</v>
      </c>
      <c r="O17" s="35">
        <f>SUM(O18:O21)</f>
        <v>0</v>
      </c>
      <c r="P17" s="35">
        <f>SUM(P18:P21)</f>
        <v>3</v>
      </c>
      <c r="Q17" s="37">
        <f t="shared" si="2"/>
        <v>86</v>
      </c>
      <c r="R17" s="50"/>
      <c r="S17" s="35">
        <f>SUM(S18:S21)</f>
        <v>1</v>
      </c>
      <c r="T17" s="36">
        <f t="shared" si="3"/>
        <v>153</v>
      </c>
      <c r="U17" s="39">
        <f t="shared" si="1"/>
        <v>0.45901639344262296</v>
      </c>
      <c r="V17" s="28">
        <f t="shared" si="4"/>
        <v>209</v>
      </c>
      <c r="W17" s="41">
        <f t="shared" si="5"/>
        <v>209</v>
      </c>
      <c r="X17" s="41">
        <f t="shared" si="10"/>
        <v>0</v>
      </c>
    </row>
    <row r="18" spans="1:24" s="30" customFormat="1" ht="20.25" customHeight="1">
      <c r="A18" s="43">
        <v>1.1</v>
      </c>
      <c r="B18" s="44" t="s">
        <v>55</v>
      </c>
      <c r="C18" s="34">
        <f>F18</f>
        <v>19</v>
      </c>
      <c r="D18" s="34">
        <f t="shared" si="6"/>
        <v>63</v>
      </c>
      <c r="E18" s="109">
        <v>44</v>
      </c>
      <c r="F18" s="48">
        <v>19</v>
      </c>
      <c r="G18" s="48">
        <v>0</v>
      </c>
      <c r="H18" s="48">
        <v>0</v>
      </c>
      <c r="I18" s="34">
        <f t="shared" si="7"/>
        <v>63</v>
      </c>
      <c r="J18" s="34">
        <f t="shared" si="8"/>
        <v>33</v>
      </c>
      <c r="K18" s="34">
        <f t="shared" si="9"/>
        <v>14</v>
      </c>
      <c r="L18" s="48">
        <v>14</v>
      </c>
      <c r="M18" s="48">
        <v>0</v>
      </c>
      <c r="N18" s="48">
        <v>17</v>
      </c>
      <c r="O18" s="48">
        <v>0</v>
      </c>
      <c r="P18" s="48">
        <v>2</v>
      </c>
      <c r="Q18" s="46">
        <f t="shared" si="2"/>
        <v>30</v>
      </c>
      <c r="R18" s="47"/>
      <c r="S18" s="48">
        <v>0</v>
      </c>
      <c r="T18" s="35">
        <f t="shared" si="3"/>
        <v>49</v>
      </c>
      <c r="U18" s="27">
        <f t="shared" si="1"/>
        <v>0.42424242424242425</v>
      </c>
      <c r="V18" s="28">
        <f t="shared" si="4"/>
        <v>63</v>
      </c>
      <c r="W18" s="29">
        <f t="shared" si="5"/>
        <v>63</v>
      </c>
      <c r="X18" s="41">
        <f t="shared" si="10"/>
        <v>0</v>
      </c>
    </row>
    <row r="19" spans="1:24" s="30" customFormat="1" ht="20.25" customHeight="1">
      <c r="A19" s="43">
        <v>1.2</v>
      </c>
      <c r="B19" s="44" t="s">
        <v>56</v>
      </c>
      <c r="C19" s="34">
        <f>F19</f>
        <v>24</v>
      </c>
      <c r="D19" s="34">
        <f t="shared" si="6"/>
        <v>66</v>
      </c>
      <c r="E19" s="109">
        <v>42</v>
      </c>
      <c r="F19" s="48">
        <v>24</v>
      </c>
      <c r="G19" s="48">
        <v>0</v>
      </c>
      <c r="H19" s="48">
        <v>0</v>
      </c>
      <c r="I19" s="34">
        <f t="shared" si="7"/>
        <v>66</v>
      </c>
      <c r="J19" s="34">
        <f t="shared" si="8"/>
        <v>44</v>
      </c>
      <c r="K19" s="34">
        <f t="shared" si="9"/>
        <v>18</v>
      </c>
      <c r="L19" s="48">
        <v>18</v>
      </c>
      <c r="M19" s="48">
        <v>0</v>
      </c>
      <c r="N19" s="48">
        <v>26</v>
      </c>
      <c r="O19" s="48">
        <v>0</v>
      </c>
      <c r="P19" s="48">
        <v>0</v>
      </c>
      <c r="Q19" s="46">
        <f t="shared" si="2"/>
        <v>21</v>
      </c>
      <c r="R19" s="47"/>
      <c r="S19" s="48">
        <v>1</v>
      </c>
      <c r="T19" s="48">
        <f t="shared" si="3"/>
        <v>48</v>
      </c>
      <c r="U19" s="27">
        <f t="shared" si="1"/>
        <v>0.4090909090909091</v>
      </c>
      <c r="V19" s="28">
        <f t="shared" si="4"/>
        <v>66</v>
      </c>
      <c r="W19" s="29">
        <f t="shared" si="5"/>
        <v>66</v>
      </c>
      <c r="X19" s="41">
        <f t="shared" si="10"/>
        <v>0</v>
      </c>
    </row>
    <row r="20" spans="1:24" s="30" customFormat="1" ht="20.25" customHeight="1">
      <c r="A20" s="43">
        <v>1.3</v>
      </c>
      <c r="B20" s="44" t="s">
        <v>57</v>
      </c>
      <c r="C20" s="34">
        <f>F20</f>
        <v>12</v>
      </c>
      <c r="D20" s="34">
        <f t="shared" si="6"/>
        <v>54</v>
      </c>
      <c r="E20" s="109">
        <v>42</v>
      </c>
      <c r="F20" s="48">
        <v>12</v>
      </c>
      <c r="G20" s="48">
        <v>2</v>
      </c>
      <c r="H20" s="48">
        <v>0</v>
      </c>
      <c r="I20" s="34">
        <f t="shared" si="7"/>
        <v>52</v>
      </c>
      <c r="J20" s="34">
        <f t="shared" si="8"/>
        <v>26</v>
      </c>
      <c r="K20" s="34">
        <f t="shared" si="9"/>
        <v>12</v>
      </c>
      <c r="L20" s="48">
        <v>12</v>
      </c>
      <c r="M20" s="48">
        <v>0</v>
      </c>
      <c r="N20" s="48">
        <v>13</v>
      </c>
      <c r="O20" s="48">
        <v>0</v>
      </c>
      <c r="P20" s="48">
        <v>1</v>
      </c>
      <c r="Q20" s="46">
        <f t="shared" si="2"/>
        <v>26</v>
      </c>
      <c r="R20" s="47"/>
      <c r="S20" s="48">
        <v>0</v>
      </c>
      <c r="T20" s="48">
        <f t="shared" si="3"/>
        <v>40</v>
      </c>
      <c r="U20" s="27">
        <f t="shared" si="1"/>
        <v>0.46153846153846156</v>
      </c>
      <c r="V20" s="28">
        <f t="shared" si="4"/>
        <v>52</v>
      </c>
      <c r="W20" s="29">
        <f t="shared" si="5"/>
        <v>52</v>
      </c>
      <c r="X20" s="41">
        <f t="shared" si="10"/>
        <v>0</v>
      </c>
    </row>
    <row r="21" spans="1:24" s="30" customFormat="1" ht="20.25" customHeight="1">
      <c r="A21" s="43">
        <v>1.4</v>
      </c>
      <c r="B21" s="44" t="s">
        <v>58</v>
      </c>
      <c r="C21" s="34">
        <f>F21</f>
        <v>12</v>
      </c>
      <c r="D21" s="34">
        <f t="shared" si="6"/>
        <v>28</v>
      </c>
      <c r="E21" s="109">
        <v>16</v>
      </c>
      <c r="F21" s="48">
        <v>12</v>
      </c>
      <c r="G21" s="48">
        <v>0</v>
      </c>
      <c r="H21" s="48">
        <v>0</v>
      </c>
      <c r="I21" s="34">
        <f t="shared" si="7"/>
        <v>28</v>
      </c>
      <c r="J21" s="34">
        <f t="shared" si="8"/>
        <v>19</v>
      </c>
      <c r="K21" s="34">
        <f t="shared" si="9"/>
        <v>12</v>
      </c>
      <c r="L21" s="48">
        <v>12</v>
      </c>
      <c r="M21" s="48">
        <v>0</v>
      </c>
      <c r="N21" s="48">
        <v>7</v>
      </c>
      <c r="O21" s="48">
        <v>0</v>
      </c>
      <c r="P21" s="48">
        <v>0</v>
      </c>
      <c r="Q21" s="46">
        <f t="shared" si="2"/>
        <v>9</v>
      </c>
      <c r="R21" s="47"/>
      <c r="S21" s="48">
        <v>0</v>
      </c>
      <c r="T21" s="48">
        <f t="shared" si="3"/>
        <v>16</v>
      </c>
      <c r="U21" s="27">
        <f t="shared" si="1"/>
        <v>0.631578947368421</v>
      </c>
      <c r="V21" s="28">
        <f t="shared" si="4"/>
        <v>28</v>
      </c>
      <c r="W21" s="29">
        <f t="shared" si="5"/>
        <v>28</v>
      </c>
      <c r="X21" s="41">
        <f t="shared" si="10"/>
        <v>0</v>
      </c>
    </row>
    <row r="22" spans="1:24" s="42" customFormat="1" ht="28.5" customHeight="1">
      <c r="A22" s="49">
        <v>2</v>
      </c>
      <c r="B22" s="32" t="s">
        <v>59</v>
      </c>
      <c r="C22" s="33">
        <f>SUM(C23:C26)</f>
        <v>26</v>
      </c>
      <c r="D22" s="33">
        <f t="shared" si="6"/>
        <v>104</v>
      </c>
      <c r="E22" s="35">
        <f>SUM(E23:E26)</f>
        <v>74</v>
      </c>
      <c r="F22" s="35">
        <f>SUM(F23:F26)</f>
        <v>30</v>
      </c>
      <c r="G22" s="35">
        <f>SUM(G23:G26)</f>
        <v>2</v>
      </c>
      <c r="H22" s="35">
        <f>SUM(H23:H26)</f>
        <v>0</v>
      </c>
      <c r="I22" s="33">
        <f t="shared" si="7"/>
        <v>102</v>
      </c>
      <c r="J22" s="33">
        <f t="shared" si="8"/>
        <v>75</v>
      </c>
      <c r="K22" s="33">
        <f t="shared" si="9"/>
        <v>20</v>
      </c>
      <c r="L22" s="35">
        <f>SUM(L23:L26)</f>
        <v>20</v>
      </c>
      <c r="M22" s="35">
        <f>SUM(M23:M26)</f>
        <v>0</v>
      </c>
      <c r="N22" s="35">
        <f>SUM(N23:N26)</f>
        <v>55</v>
      </c>
      <c r="O22" s="35">
        <f>SUM(O23:O26)</f>
        <v>0</v>
      </c>
      <c r="P22" s="35">
        <f>SUM(P23:P26)</f>
        <v>0</v>
      </c>
      <c r="Q22" s="37">
        <f t="shared" si="2"/>
        <v>27</v>
      </c>
      <c r="R22" s="50"/>
      <c r="S22" s="35">
        <f>SUM(S23:S26)</f>
        <v>0</v>
      </c>
      <c r="T22" s="37">
        <f t="shared" si="3"/>
        <v>82</v>
      </c>
      <c r="U22" s="39">
        <f t="shared" si="1"/>
        <v>0.26666666666666666</v>
      </c>
      <c r="V22" s="28">
        <f t="shared" si="4"/>
        <v>102</v>
      </c>
      <c r="W22" s="41">
        <f t="shared" si="5"/>
        <v>102</v>
      </c>
      <c r="X22" s="41">
        <f t="shared" si="10"/>
        <v>0</v>
      </c>
    </row>
    <row r="23" spans="1:24" s="30" customFormat="1" ht="16.5" customHeight="1">
      <c r="A23" s="43">
        <v>2.1</v>
      </c>
      <c r="B23" s="44" t="s">
        <v>60</v>
      </c>
      <c r="C23" s="45">
        <v>11</v>
      </c>
      <c r="D23" s="34">
        <f t="shared" si="6"/>
        <v>35</v>
      </c>
      <c r="E23" s="45">
        <v>24</v>
      </c>
      <c r="F23" s="48">
        <v>11</v>
      </c>
      <c r="G23" s="48">
        <v>2</v>
      </c>
      <c r="H23" s="48">
        <v>0</v>
      </c>
      <c r="I23" s="34">
        <f t="shared" si="7"/>
        <v>33</v>
      </c>
      <c r="J23" s="34">
        <f t="shared" si="8"/>
        <v>28</v>
      </c>
      <c r="K23" s="34">
        <f t="shared" si="9"/>
        <v>4</v>
      </c>
      <c r="L23" s="48">
        <v>4</v>
      </c>
      <c r="M23" s="48">
        <v>0</v>
      </c>
      <c r="N23" s="48">
        <v>24</v>
      </c>
      <c r="O23" s="48">
        <v>0</v>
      </c>
      <c r="P23" s="48">
        <v>0</v>
      </c>
      <c r="Q23" s="51">
        <f t="shared" si="2"/>
        <v>5</v>
      </c>
      <c r="R23" s="47"/>
      <c r="S23" s="48">
        <v>0</v>
      </c>
      <c r="T23" s="35">
        <f t="shared" si="3"/>
        <v>29</v>
      </c>
      <c r="U23" s="27">
        <f t="shared" si="1"/>
        <v>0.14285714285714285</v>
      </c>
      <c r="V23" s="28">
        <f t="shared" si="4"/>
        <v>33</v>
      </c>
      <c r="W23" s="29">
        <f t="shared" si="5"/>
        <v>33</v>
      </c>
      <c r="X23" s="41">
        <f t="shared" si="10"/>
        <v>0</v>
      </c>
    </row>
    <row r="24" spans="1:24" s="30" customFormat="1" ht="16.5" customHeight="1">
      <c r="A24" s="43">
        <v>2.2</v>
      </c>
      <c r="B24" s="44" t="s">
        <v>61</v>
      </c>
      <c r="C24" s="45">
        <v>7</v>
      </c>
      <c r="D24" s="34">
        <f t="shared" si="6"/>
        <v>35</v>
      </c>
      <c r="E24" s="45">
        <v>27</v>
      </c>
      <c r="F24" s="48">
        <v>8</v>
      </c>
      <c r="G24" s="48">
        <v>0</v>
      </c>
      <c r="H24" s="48">
        <v>0</v>
      </c>
      <c r="I24" s="34">
        <f t="shared" si="7"/>
        <v>35</v>
      </c>
      <c r="J24" s="34">
        <f t="shared" si="8"/>
        <v>23</v>
      </c>
      <c r="K24" s="34">
        <f t="shared" si="9"/>
        <v>10</v>
      </c>
      <c r="L24" s="48">
        <v>10</v>
      </c>
      <c r="M24" s="48">
        <v>0</v>
      </c>
      <c r="N24" s="48">
        <v>13</v>
      </c>
      <c r="O24" s="48">
        <v>0</v>
      </c>
      <c r="P24" s="48">
        <v>0</v>
      </c>
      <c r="Q24" s="51">
        <f t="shared" si="2"/>
        <v>12</v>
      </c>
      <c r="R24" s="47"/>
      <c r="S24" s="48">
        <v>0</v>
      </c>
      <c r="T24" s="48">
        <f t="shared" si="3"/>
        <v>25</v>
      </c>
      <c r="U24" s="27">
        <f t="shared" si="1"/>
        <v>0.43478260869565216</v>
      </c>
      <c r="V24" s="28">
        <f t="shared" si="4"/>
        <v>35</v>
      </c>
      <c r="W24" s="29">
        <f t="shared" si="5"/>
        <v>35</v>
      </c>
      <c r="X24" s="41">
        <f t="shared" si="10"/>
        <v>0</v>
      </c>
    </row>
    <row r="25" spans="1:24" s="30" customFormat="1" ht="16.5" customHeight="1">
      <c r="A25" s="43">
        <v>2.3</v>
      </c>
      <c r="B25" s="44" t="s">
        <v>62</v>
      </c>
      <c r="C25" s="45">
        <v>7</v>
      </c>
      <c r="D25" s="34">
        <f t="shared" si="6"/>
        <v>32</v>
      </c>
      <c r="E25" s="45">
        <v>23</v>
      </c>
      <c r="F25" s="48">
        <v>9</v>
      </c>
      <c r="G25" s="48">
        <v>0</v>
      </c>
      <c r="H25" s="48">
        <v>0</v>
      </c>
      <c r="I25" s="34">
        <f t="shared" si="7"/>
        <v>32</v>
      </c>
      <c r="J25" s="34">
        <f t="shared" si="8"/>
        <v>22</v>
      </c>
      <c r="K25" s="34">
        <f t="shared" si="9"/>
        <v>5</v>
      </c>
      <c r="L25" s="48">
        <v>5</v>
      </c>
      <c r="M25" s="48">
        <v>0</v>
      </c>
      <c r="N25" s="48">
        <v>17</v>
      </c>
      <c r="O25" s="48">
        <v>0</v>
      </c>
      <c r="P25" s="48">
        <v>0</v>
      </c>
      <c r="Q25" s="51">
        <f t="shared" si="2"/>
        <v>10</v>
      </c>
      <c r="R25" s="47"/>
      <c r="S25" s="48">
        <v>0</v>
      </c>
      <c r="T25" s="48">
        <f t="shared" si="3"/>
        <v>27</v>
      </c>
      <c r="U25" s="27">
        <f t="shared" si="1"/>
        <v>0.22727272727272727</v>
      </c>
      <c r="V25" s="28">
        <f t="shared" si="4"/>
        <v>32</v>
      </c>
      <c r="W25" s="29">
        <f t="shared" si="5"/>
        <v>32</v>
      </c>
      <c r="X25" s="41">
        <f t="shared" si="10"/>
        <v>0</v>
      </c>
    </row>
    <row r="26" spans="1:24" s="30" customFormat="1" ht="16.5" customHeight="1">
      <c r="A26" s="43">
        <v>2.4</v>
      </c>
      <c r="B26" s="44" t="s">
        <v>63</v>
      </c>
      <c r="C26" s="45">
        <v>1</v>
      </c>
      <c r="D26" s="34">
        <f t="shared" si="6"/>
        <v>2</v>
      </c>
      <c r="E26" s="45"/>
      <c r="F26" s="48">
        <v>2</v>
      </c>
      <c r="G26" s="48">
        <v>0</v>
      </c>
      <c r="H26" s="48">
        <v>0</v>
      </c>
      <c r="I26" s="34">
        <f t="shared" si="7"/>
        <v>2</v>
      </c>
      <c r="J26" s="34">
        <f t="shared" si="8"/>
        <v>2</v>
      </c>
      <c r="K26" s="34">
        <f t="shared" si="9"/>
        <v>1</v>
      </c>
      <c r="L26" s="48">
        <v>1</v>
      </c>
      <c r="M26" s="48">
        <v>0</v>
      </c>
      <c r="N26" s="48">
        <v>1</v>
      </c>
      <c r="O26" s="48">
        <v>0</v>
      </c>
      <c r="P26" s="48">
        <v>0</v>
      </c>
      <c r="Q26" s="51">
        <f t="shared" si="2"/>
        <v>0</v>
      </c>
      <c r="R26" s="47"/>
      <c r="S26" s="48">
        <v>0</v>
      </c>
      <c r="T26" s="48">
        <f t="shared" si="3"/>
        <v>1</v>
      </c>
      <c r="U26" s="27">
        <f t="shared" si="1"/>
        <v>0.5</v>
      </c>
      <c r="V26" s="28">
        <f t="shared" si="4"/>
        <v>2</v>
      </c>
      <c r="W26" s="29">
        <f t="shared" si="5"/>
        <v>2</v>
      </c>
      <c r="X26" s="41">
        <f t="shared" si="10"/>
        <v>0</v>
      </c>
    </row>
    <row r="27" spans="1:24" s="42" customFormat="1" ht="24.75" customHeight="1">
      <c r="A27" s="49">
        <v>3</v>
      </c>
      <c r="B27" s="32" t="s">
        <v>64</v>
      </c>
      <c r="C27" s="33">
        <f>SUM(C28:C32)</f>
        <v>39</v>
      </c>
      <c r="D27" s="33">
        <f t="shared" si="6"/>
        <v>141</v>
      </c>
      <c r="E27" s="52">
        <f>SUM(E28:E32)</f>
        <v>102</v>
      </c>
      <c r="F27" s="35">
        <f>SUM(F28:F32)</f>
        <v>39</v>
      </c>
      <c r="G27" s="35">
        <f>SUM(G28:G32)</f>
        <v>1</v>
      </c>
      <c r="H27" s="35">
        <f>SUM(H28:H32)</f>
        <v>0</v>
      </c>
      <c r="I27" s="33">
        <f t="shared" si="7"/>
        <v>140</v>
      </c>
      <c r="J27" s="33">
        <f t="shared" si="8"/>
        <v>101</v>
      </c>
      <c r="K27" s="33">
        <f t="shared" si="9"/>
        <v>14</v>
      </c>
      <c r="L27" s="35">
        <f>SUM(L28:L32)</f>
        <v>14</v>
      </c>
      <c r="M27" s="35">
        <f>SUM(M28:M32)</f>
        <v>0</v>
      </c>
      <c r="N27" s="35">
        <f>SUM(N28:N32)</f>
        <v>87</v>
      </c>
      <c r="O27" s="35">
        <f>SUM(O28:O32)</f>
        <v>0</v>
      </c>
      <c r="P27" s="35">
        <f>SUM(P28:P32)</f>
        <v>0</v>
      </c>
      <c r="Q27" s="37">
        <f t="shared" si="2"/>
        <v>37</v>
      </c>
      <c r="R27" s="50"/>
      <c r="S27" s="35">
        <f>SUM(S28:S32)</f>
        <v>2</v>
      </c>
      <c r="T27" s="37">
        <f t="shared" si="3"/>
        <v>126</v>
      </c>
      <c r="U27" s="39">
        <f t="shared" si="1"/>
        <v>0.13861386138613863</v>
      </c>
      <c r="V27" s="28">
        <f t="shared" si="4"/>
        <v>140</v>
      </c>
      <c r="W27" s="41">
        <f t="shared" si="5"/>
        <v>140</v>
      </c>
      <c r="X27" s="41">
        <f t="shared" si="10"/>
        <v>0</v>
      </c>
    </row>
    <row r="28" spans="1:24" s="30" customFormat="1" ht="20.25" customHeight="1">
      <c r="A28" s="43">
        <v>3.1</v>
      </c>
      <c r="B28" s="100" t="s">
        <v>65</v>
      </c>
      <c r="C28" s="34">
        <f>F28</f>
        <v>9</v>
      </c>
      <c r="D28" s="34">
        <f t="shared" si="6"/>
        <v>29</v>
      </c>
      <c r="E28" s="45">
        <v>20</v>
      </c>
      <c r="F28" s="48">
        <v>9</v>
      </c>
      <c r="G28" s="48">
        <v>0</v>
      </c>
      <c r="H28" s="48">
        <v>0</v>
      </c>
      <c r="I28" s="34">
        <f t="shared" si="7"/>
        <v>29</v>
      </c>
      <c r="J28" s="34">
        <f t="shared" si="8"/>
        <v>18</v>
      </c>
      <c r="K28" s="34">
        <f t="shared" si="9"/>
        <v>1</v>
      </c>
      <c r="L28" s="48">
        <v>1</v>
      </c>
      <c r="M28" s="48">
        <v>0</v>
      </c>
      <c r="N28" s="48">
        <v>17</v>
      </c>
      <c r="O28" s="48">
        <v>0</v>
      </c>
      <c r="P28" s="48">
        <v>0</v>
      </c>
      <c r="Q28" s="53">
        <f t="shared" si="2"/>
        <v>11</v>
      </c>
      <c r="R28" s="47"/>
      <c r="S28" s="48">
        <v>0</v>
      </c>
      <c r="T28" s="35">
        <f t="shared" si="3"/>
        <v>28</v>
      </c>
      <c r="U28" s="27">
        <f t="shared" si="1"/>
        <v>0.05555555555555555</v>
      </c>
      <c r="V28" s="28">
        <f t="shared" si="4"/>
        <v>29</v>
      </c>
      <c r="W28" s="29">
        <f t="shared" si="5"/>
        <v>29</v>
      </c>
      <c r="X28" s="41">
        <f t="shared" si="10"/>
        <v>0</v>
      </c>
    </row>
    <row r="29" spans="1:24" s="30" customFormat="1" ht="20.25" customHeight="1">
      <c r="A29" s="43">
        <v>3.2</v>
      </c>
      <c r="B29" s="100" t="s">
        <v>66</v>
      </c>
      <c r="C29" s="34">
        <f>F29</f>
        <v>14</v>
      </c>
      <c r="D29" s="34">
        <f t="shared" si="6"/>
        <v>52</v>
      </c>
      <c r="E29" s="45">
        <v>38</v>
      </c>
      <c r="F29" s="48">
        <v>14</v>
      </c>
      <c r="G29" s="48">
        <v>0</v>
      </c>
      <c r="H29" s="48">
        <v>0</v>
      </c>
      <c r="I29" s="34">
        <f t="shared" si="7"/>
        <v>52</v>
      </c>
      <c r="J29" s="34">
        <f t="shared" si="8"/>
        <v>36</v>
      </c>
      <c r="K29" s="34">
        <f t="shared" si="9"/>
        <v>6</v>
      </c>
      <c r="L29" s="48">
        <v>6</v>
      </c>
      <c r="M29" s="48">
        <v>0</v>
      </c>
      <c r="N29" s="48">
        <v>30</v>
      </c>
      <c r="O29" s="48">
        <v>0</v>
      </c>
      <c r="P29" s="48">
        <v>0</v>
      </c>
      <c r="Q29" s="53">
        <f t="shared" si="2"/>
        <v>14</v>
      </c>
      <c r="R29" s="47"/>
      <c r="S29" s="48">
        <v>2</v>
      </c>
      <c r="T29" s="48">
        <f t="shared" si="3"/>
        <v>46</v>
      </c>
      <c r="U29" s="27">
        <f t="shared" si="1"/>
        <v>0.16666666666666666</v>
      </c>
      <c r="V29" s="28">
        <f t="shared" si="4"/>
        <v>52</v>
      </c>
      <c r="W29" s="29">
        <f t="shared" si="5"/>
        <v>52</v>
      </c>
      <c r="X29" s="41">
        <f t="shared" si="10"/>
        <v>0</v>
      </c>
    </row>
    <row r="30" spans="1:24" s="30" customFormat="1" ht="20.25" customHeight="1">
      <c r="A30" s="43">
        <v>3.3</v>
      </c>
      <c r="B30" s="100" t="s">
        <v>67</v>
      </c>
      <c r="C30" s="34">
        <f>F30</f>
        <v>13</v>
      </c>
      <c r="D30" s="34">
        <f t="shared" si="6"/>
        <v>44</v>
      </c>
      <c r="E30" s="45">
        <v>31</v>
      </c>
      <c r="F30" s="48">
        <v>13</v>
      </c>
      <c r="G30" s="48">
        <v>1</v>
      </c>
      <c r="H30" s="48">
        <v>0</v>
      </c>
      <c r="I30" s="34">
        <f t="shared" si="7"/>
        <v>43</v>
      </c>
      <c r="J30" s="34">
        <f t="shared" si="8"/>
        <v>35</v>
      </c>
      <c r="K30" s="34">
        <f t="shared" si="9"/>
        <v>6</v>
      </c>
      <c r="L30" s="48">
        <v>6</v>
      </c>
      <c r="M30" s="48">
        <v>0</v>
      </c>
      <c r="N30" s="48">
        <v>29</v>
      </c>
      <c r="O30" s="48">
        <v>0</v>
      </c>
      <c r="P30" s="48">
        <v>0</v>
      </c>
      <c r="Q30" s="53">
        <f t="shared" si="2"/>
        <v>8</v>
      </c>
      <c r="R30" s="47"/>
      <c r="S30" s="48">
        <v>0</v>
      </c>
      <c r="T30" s="48">
        <f t="shared" si="3"/>
        <v>37</v>
      </c>
      <c r="U30" s="27">
        <f t="shared" si="1"/>
        <v>0.17142857142857143</v>
      </c>
      <c r="V30" s="28">
        <f t="shared" si="4"/>
        <v>43</v>
      </c>
      <c r="W30" s="29">
        <f t="shared" si="5"/>
        <v>43</v>
      </c>
      <c r="X30" s="41">
        <f t="shared" si="10"/>
        <v>0</v>
      </c>
    </row>
    <row r="31" spans="1:24" s="30" customFormat="1" ht="20.25" customHeight="1">
      <c r="A31" s="43"/>
      <c r="B31" s="100" t="s">
        <v>68</v>
      </c>
      <c r="C31" s="34">
        <f>F31</f>
        <v>0</v>
      </c>
      <c r="D31" s="34">
        <f t="shared" si="6"/>
        <v>13</v>
      </c>
      <c r="E31" s="45">
        <v>13</v>
      </c>
      <c r="F31" s="48">
        <v>0</v>
      </c>
      <c r="G31" s="48">
        <v>0</v>
      </c>
      <c r="H31" s="48">
        <v>0</v>
      </c>
      <c r="I31" s="34">
        <f>D31-G31-H31</f>
        <v>13</v>
      </c>
      <c r="J31" s="34">
        <f>L31+M31+N31+P31</f>
        <v>9</v>
      </c>
      <c r="K31" s="34">
        <f>M31+L31</f>
        <v>0</v>
      </c>
      <c r="L31" s="48">
        <v>0</v>
      </c>
      <c r="M31" s="48">
        <v>0</v>
      </c>
      <c r="N31" s="48">
        <v>9</v>
      </c>
      <c r="O31" s="48">
        <v>0</v>
      </c>
      <c r="P31" s="48"/>
      <c r="Q31" s="53">
        <f t="shared" si="2"/>
        <v>4</v>
      </c>
      <c r="R31" s="47"/>
      <c r="S31" s="48">
        <v>0</v>
      </c>
      <c r="T31" s="48">
        <f t="shared" si="3"/>
        <v>13</v>
      </c>
      <c r="U31" s="27">
        <f t="shared" si="1"/>
        <v>0</v>
      </c>
      <c r="V31" s="28"/>
      <c r="W31" s="29"/>
      <c r="X31" s="41"/>
    </row>
    <row r="32" spans="1:24" s="30" customFormat="1" ht="20.25" customHeight="1">
      <c r="A32" s="43">
        <v>3.4</v>
      </c>
      <c r="B32" s="100" t="s">
        <v>118</v>
      </c>
      <c r="C32" s="34">
        <f>F32</f>
        <v>3</v>
      </c>
      <c r="D32" s="34">
        <f t="shared" si="6"/>
        <v>3</v>
      </c>
      <c r="E32" s="45"/>
      <c r="F32" s="48">
        <v>3</v>
      </c>
      <c r="G32" s="48">
        <v>0</v>
      </c>
      <c r="H32" s="48">
        <v>0</v>
      </c>
      <c r="I32" s="34">
        <f t="shared" si="7"/>
        <v>3</v>
      </c>
      <c r="J32" s="34">
        <f t="shared" si="8"/>
        <v>3</v>
      </c>
      <c r="K32" s="34">
        <f t="shared" si="9"/>
        <v>1</v>
      </c>
      <c r="L32" s="48">
        <v>1</v>
      </c>
      <c r="M32" s="48">
        <v>0</v>
      </c>
      <c r="N32" s="48">
        <v>2</v>
      </c>
      <c r="O32" s="48">
        <v>0</v>
      </c>
      <c r="P32" s="48">
        <v>0</v>
      </c>
      <c r="Q32" s="53">
        <f t="shared" si="2"/>
        <v>0</v>
      </c>
      <c r="R32" s="47"/>
      <c r="S32" s="48">
        <v>0</v>
      </c>
      <c r="T32" s="48">
        <f t="shared" si="3"/>
        <v>2</v>
      </c>
      <c r="U32" s="27">
        <f t="shared" si="1"/>
        <v>0.3333333333333333</v>
      </c>
      <c r="V32" s="28">
        <f t="shared" si="4"/>
        <v>3</v>
      </c>
      <c r="W32" s="29">
        <f t="shared" si="5"/>
        <v>3</v>
      </c>
      <c r="X32" s="41">
        <f t="shared" si="10"/>
        <v>0</v>
      </c>
    </row>
    <row r="33" spans="1:24" s="42" customFormat="1" ht="22.5" customHeight="1">
      <c r="A33" s="49">
        <v>4</v>
      </c>
      <c r="B33" s="32" t="s">
        <v>69</v>
      </c>
      <c r="C33" s="33">
        <f>SUM(C34:C38)</f>
        <v>56</v>
      </c>
      <c r="D33" s="33">
        <f t="shared" si="6"/>
        <v>105</v>
      </c>
      <c r="E33" s="35">
        <f>SUM(E34:E38)</f>
        <v>49</v>
      </c>
      <c r="F33" s="35">
        <f>SUM(F34:F38)</f>
        <v>56</v>
      </c>
      <c r="G33" s="35">
        <f>SUM(G34:G38)</f>
        <v>0</v>
      </c>
      <c r="H33" s="35">
        <f>SUM(H34:H38)</f>
        <v>0</v>
      </c>
      <c r="I33" s="33">
        <f t="shared" si="7"/>
        <v>105</v>
      </c>
      <c r="J33" s="33">
        <f t="shared" si="8"/>
        <v>98</v>
      </c>
      <c r="K33" s="33">
        <f t="shared" si="9"/>
        <v>20</v>
      </c>
      <c r="L33" s="35">
        <f>SUM(L34:L38)</f>
        <v>20</v>
      </c>
      <c r="M33" s="35">
        <f>SUM(M34:M38)</f>
        <v>0</v>
      </c>
      <c r="N33" s="35">
        <f>SUM(N34:N38)</f>
        <v>77</v>
      </c>
      <c r="O33" s="35">
        <f>SUM(O34:O38)</f>
        <v>0</v>
      </c>
      <c r="P33" s="35">
        <f>SUM(P34:P38)</f>
        <v>1</v>
      </c>
      <c r="Q33" s="37">
        <f t="shared" si="2"/>
        <v>7</v>
      </c>
      <c r="R33" s="50"/>
      <c r="S33" s="35">
        <f>SUM(S34:S38)</f>
        <v>0</v>
      </c>
      <c r="T33" s="37">
        <f t="shared" si="3"/>
        <v>85</v>
      </c>
      <c r="U33" s="39">
        <f t="shared" si="1"/>
        <v>0.20408163265306123</v>
      </c>
      <c r="V33" s="28">
        <f t="shared" si="4"/>
        <v>105</v>
      </c>
      <c r="W33" s="41">
        <f t="shared" si="5"/>
        <v>105</v>
      </c>
      <c r="X33" s="41">
        <f t="shared" si="10"/>
        <v>0</v>
      </c>
    </row>
    <row r="34" spans="1:24" s="30" customFormat="1" ht="20.25" customHeight="1">
      <c r="A34" s="43">
        <v>4.1</v>
      </c>
      <c r="B34" s="44" t="s">
        <v>70</v>
      </c>
      <c r="C34" s="54">
        <f>F34</f>
        <v>19</v>
      </c>
      <c r="D34" s="34">
        <f t="shared" si="6"/>
        <v>37</v>
      </c>
      <c r="E34" s="54">
        <v>18</v>
      </c>
      <c r="F34" s="48">
        <v>19</v>
      </c>
      <c r="G34" s="48">
        <v>0</v>
      </c>
      <c r="H34" s="48">
        <v>0</v>
      </c>
      <c r="I34" s="34">
        <f t="shared" si="7"/>
        <v>37</v>
      </c>
      <c r="J34" s="34">
        <f t="shared" si="8"/>
        <v>36</v>
      </c>
      <c r="K34" s="34">
        <f t="shared" si="9"/>
        <v>4</v>
      </c>
      <c r="L34" s="48">
        <v>4</v>
      </c>
      <c r="M34" s="48">
        <v>0</v>
      </c>
      <c r="N34" s="48">
        <v>31</v>
      </c>
      <c r="O34" s="48">
        <v>0</v>
      </c>
      <c r="P34" s="48">
        <v>1</v>
      </c>
      <c r="Q34" s="53">
        <f t="shared" si="2"/>
        <v>1</v>
      </c>
      <c r="R34" s="47"/>
      <c r="S34" s="48">
        <v>0</v>
      </c>
      <c r="T34" s="48">
        <f t="shared" si="3"/>
        <v>33</v>
      </c>
      <c r="U34" s="27">
        <f t="shared" si="1"/>
        <v>0.1111111111111111</v>
      </c>
      <c r="V34" s="28">
        <f t="shared" si="4"/>
        <v>37</v>
      </c>
      <c r="W34" s="29">
        <f t="shared" si="5"/>
        <v>37</v>
      </c>
      <c r="X34" s="41">
        <f t="shared" si="10"/>
        <v>0</v>
      </c>
    </row>
    <row r="35" spans="1:24" s="30" customFormat="1" ht="20.25" customHeight="1">
      <c r="A35" s="43">
        <v>4.2</v>
      </c>
      <c r="B35" s="44" t="s">
        <v>71</v>
      </c>
      <c r="C35" s="54">
        <f>F35</f>
        <v>11</v>
      </c>
      <c r="D35" s="34">
        <f t="shared" si="6"/>
        <v>19</v>
      </c>
      <c r="E35" s="54">
        <v>8</v>
      </c>
      <c r="F35" s="48">
        <v>11</v>
      </c>
      <c r="G35" s="48">
        <v>0</v>
      </c>
      <c r="H35" s="48">
        <v>0</v>
      </c>
      <c r="I35" s="34">
        <f t="shared" si="7"/>
        <v>19</v>
      </c>
      <c r="J35" s="34">
        <f t="shared" si="8"/>
        <v>19</v>
      </c>
      <c r="K35" s="34">
        <f t="shared" si="9"/>
        <v>3</v>
      </c>
      <c r="L35" s="48">
        <v>3</v>
      </c>
      <c r="M35" s="48">
        <v>0</v>
      </c>
      <c r="N35" s="48">
        <v>16</v>
      </c>
      <c r="O35" s="48">
        <v>0</v>
      </c>
      <c r="P35" s="48">
        <v>0</v>
      </c>
      <c r="Q35" s="53">
        <f t="shared" si="2"/>
        <v>0</v>
      </c>
      <c r="R35" s="47"/>
      <c r="S35" s="48">
        <v>0</v>
      </c>
      <c r="T35" s="48">
        <f t="shared" si="3"/>
        <v>16</v>
      </c>
      <c r="U35" s="27">
        <f t="shared" si="1"/>
        <v>0.15789473684210525</v>
      </c>
      <c r="V35" s="28">
        <f t="shared" si="4"/>
        <v>19</v>
      </c>
      <c r="W35" s="29">
        <f t="shared" si="5"/>
        <v>19</v>
      </c>
      <c r="X35" s="41">
        <f t="shared" si="10"/>
        <v>0</v>
      </c>
    </row>
    <row r="36" spans="1:24" s="30" customFormat="1" ht="20.25" customHeight="1">
      <c r="A36" s="43">
        <v>4.3</v>
      </c>
      <c r="B36" s="44" t="s">
        <v>72</v>
      </c>
      <c r="C36" s="54">
        <f>F36</f>
        <v>11</v>
      </c>
      <c r="D36" s="34">
        <f t="shared" si="6"/>
        <v>21</v>
      </c>
      <c r="E36" s="54">
        <v>10</v>
      </c>
      <c r="F36" s="48">
        <v>11</v>
      </c>
      <c r="G36" s="48">
        <v>0</v>
      </c>
      <c r="H36" s="48">
        <v>0</v>
      </c>
      <c r="I36" s="34">
        <f t="shared" si="7"/>
        <v>21</v>
      </c>
      <c r="J36" s="34">
        <f t="shared" si="8"/>
        <v>16</v>
      </c>
      <c r="K36" s="34">
        <f t="shared" si="9"/>
        <v>5</v>
      </c>
      <c r="L36" s="48">
        <v>5</v>
      </c>
      <c r="M36" s="48">
        <v>0</v>
      </c>
      <c r="N36" s="48">
        <v>11</v>
      </c>
      <c r="O36" s="48">
        <v>0</v>
      </c>
      <c r="P36" s="48">
        <v>0</v>
      </c>
      <c r="Q36" s="53">
        <f t="shared" si="2"/>
        <v>5</v>
      </c>
      <c r="R36" s="47"/>
      <c r="S36" s="48">
        <v>0</v>
      </c>
      <c r="T36" s="48">
        <f t="shared" si="3"/>
        <v>16</v>
      </c>
      <c r="U36" s="27">
        <f t="shared" si="1"/>
        <v>0.3125</v>
      </c>
      <c r="V36" s="28">
        <f t="shared" si="4"/>
        <v>21</v>
      </c>
      <c r="W36" s="29">
        <f t="shared" si="5"/>
        <v>21</v>
      </c>
      <c r="X36" s="41">
        <f t="shared" si="10"/>
        <v>0</v>
      </c>
    </row>
    <row r="37" spans="1:24" s="30" customFormat="1" ht="20.25" customHeight="1">
      <c r="A37" s="43">
        <v>4.4</v>
      </c>
      <c r="B37" s="44" t="s">
        <v>73</v>
      </c>
      <c r="C37" s="54">
        <f>F37</f>
        <v>9</v>
      </c>
      <c r="D37" s="34">
        <f t="shared" si="6"/>
        <v>18</v>
      </c>
      <c r="E37" s="54">
        <v>9</v>
      </c>
      <c r="F37" s="48">
        <v>9</v>
      </c>
      <c r="G37" s="48">
        <v>0</v>
      </c>
      <c r="H37" s="48">
        <v>0</v>
      </c>
      <c r="I37" s="34">
        <f t="shared" si="7"/>
        <v>18</v>
      </c>
      <c r="J37" s="34">
        <f t="shared" si="8"/>
        <v>17</v>
      </c>
      <c r="K37" s="34">
        <f t="shared" si="9"/>
        <v>4</v>
      </c>
      <c r="L37" s="48">
        <v>4</v>
      </c>
      <c r="M37" s="48">
        <v>0</v>
      </c>
      <c r="N37" s="48">
        <v>13</v>
      </c>
      <c r="O37" s="48">
        <v>0</v>
      </c>
      <c r="P37" s="48">
        <v>0</v>
      </c>
      <c r="Q37" s="53">
        <f t="shared" si="2"/>
        <v>1</v>
      </c>
      <c r="R37" s="47"/>
      <c r="S37" s="48">
        <v>0</v>
      </c>
      <c r="T37" s="48">
        <f t="shared" si="3"/>
        <v>14</v>
      </c>
      <c r="U37" s="27">
        <f t="shared" si="1"/>
        <v>0.23529411764705882</v>
      </c>
      <c r="V37" s="28">
        <f t="shared" si="4"/>
        <v>18</v>
      </c>
      <c r="W37" s="29">
        <f t="shared" si="5"/>
        <v>18</v>
      </c>
      <c r="X37" s="41">
        <f t="shared" si="10"/>
        <v>0</v>
      </c>
    </row>
    <row r="38" spans="1:24" s="30" customFormat="1" ht="20.25" customHeight="1">
      <c r="A38" s="43">
        <v>4.5</v>
      </c>
      <c r="B38" s="44" t="s">
        <v>74</v>
      </c>
      <c r="C38" s="54">
        <f>F38</f>
        <v>6</v>
      </c>
      <c r="D38" s="34">
        <f t="shared" si="6"/>
        <v>10</v>
      </c>
      <c r="E38" s="54">
        <v>4</v>
      </c>
      <c r="F38" s="48">
        <v>6</v>
      </c>
      <c r="G38" s="48">
        <v>0</v>
      </c>
      <c r="H38" s="48">
        <v>0</v>
      </c>
      <c r="I38" s="34">
        <f t="shared" si="7"/>
        <v>10</v>
      </c>
      <c r="J38" s="34">
        <f t="shared" si="8"/>
        <v>10</v>
      </c>
      <c r="K38" s="34">
        <f t="shared" si="9"/>
        <v>4</v>
      </c>
      <c r="L38" s="48">
        <v>4</v>
      </c>
      <c r="M38" s="48">
        <v>0</v>
      </c>
      <c r="N38" s="48">
        <v>6</v>
      </c>
      <c r="O38" s="48">
        <v>0</v>
      </c>
      <c r="P38" s="48">
        <v>0</v>
      </c>
      <c r="Q38" s="53">
        <f t="shared" si="2"/>
        <v>0</v>
      </c>
      <c r="R38" s="47"/>
      <c r="S38" s="48">
        <v>0</v>
      </c>
      <c r="T38" s="48">
        <f t="shared" si="3"/>
        <v>6</v>
      </c>
      <c r="U38" s="27">
        <f t="shared" si="1"/>
        <v>0.4</v>
      </c>
      <c r="V38" s="28">
        <f t="shared" si="4"/>
        <v>10</v>
      </c>
      <c r="W38" s="29">
        <f t="shared" si="5"/>
        <v>10</v>
      </c>
      <c r="X38" s="41">
        <f t="shared" si="10"/>
        <v>0</v>
      </c>
    </row>
    <row r="39" spans="1:24" s="42" customFormat="1" ht="21" customHeight="1">
      <c r="A39" s="49">
        <v>5</v>
      </c>
      <c r="B39" s="32" t="s">
        <v>75</v>
      </c>
      <c r="C39" s="33">
        <f>SUM(C40:C43)</f>
        <v>59</v>
      </c>
      <c r="D39" s="33">
        <f t="shared" si="6"/>
        <v>243</v>
      </c>
      <c r="E39" s="52">
        <f>SUM(E40:E43)</f>
        <v>184</v>
      </c>
      <c r="F39" s="35">
        <f>SUM(F40:F43)</f>
        <v>59</v>
      </c>
      <c r="G39" s="35">
        <f>SUM(G40:G43)</f>
        <v>1</v>
      </c>
      <c r="H39" s="35">
        <f>SUM(H40:H43)</f>
        <v>0</v>
      </c>
      <c r="I39" s="33">
        <f t="shared" si="7"/>
        <v>242</v>
      </c>
      <c r="J39" s="33">
        <f t="shared" si="8"/>
        <v>124</v>
      </c>
      <c r="K39" s="33">
        <f t="shared" si="9"/>
        <v>36</v>
      </c>
      <c r="L39" s="35">
        <f>SUM(L40:L43)</f>
        <v>34</v>
      </c>
      <c r="M39" s="35">
        <f>SUM(M40:M43)</f>
        <v>2</v>
      </c>
      <c r="N39" s="35">
        <f>SUM(N40:N43)</f>
        <v>88</v>
      </c>
      <c r="O39" s="35">
        <f>SUM(O40:O43)</f>
        <v>0</v>
      </c>
      <c r="P39" s="35">
        <f>SUM(P40:P43)</f>
        <v>0</v>
      </c>
      <c r="Q39" s="37">
        <f t="shared" si="2"/>
        <v>118</v>
      </c>
      <c r="R39" s="50"/>
      <c r="S39" s="35">
        <f>SUM(S40:S43)</f>
        <v>0</v>
      </c>
      <c r="T39" s="37">
        <f t="shared" si="3"/>
        <v>206</v>
      </c>
      <c r="U39" s="39">
        <f t="shared" si="1"/>
        <v>0.2903225806451613</v>
      </c>
      <c r="V39" s="28">
        <f t="shared" si="4"/>
        <v>242</v>
      </c>
      <c r="W39" s="41">
        <f t="shared" si="5"/>
        <v>242</v>
      </c>
      <c r="X39" s="41">
        <f t="shared" si="10"/>
        <v>0</v>
      </c>
    </row>
    <row r="40" spans="1:24" s="30" customFormat="1" ht="21" customHeight="1">
      <c r="A40" s="43">
        <v>5.1</v>
      </c>
      <c r="B40" s="44" t="s">
        <v>76</v>
      </c>
      <c r="C40" s="34">
        <f>F40</f>
        <v>11</v>
      </c>
      <c r="D40" s="45">
        <f>E40+F40</f>
        <v>69</v>
      </c>
      <c r="E40" s="45">
        <v>58</v>
      </c>
      <c r="F40" s="48">
        <v>11</v>
      </c>
      <c r="G40" s="48">
        <v>0</v>
      </c>
      <c r="H40" s="48">
        <v>0</v>
      </c>
      <c r="I40" s="34">
        <f t="shared" si="7"/>
        <v>69</v>
      </c>
      <c r="J40" s="34">
        <f t="shared" si="8"/>
        <v>26</v>
      </c>
      <c r="K40" s="34">
        <f t="shared" si="9"/>
        <v>0</v>
      </c>
      <c r="L40" s="48">
        <v>0</v>
      </c>
      <c r="M40" s="48">
        <v>0</v>
      </c>
      <c r="N40" s="48">
        <v>26</v>
      </c>
      <c r="O40" s="48">
        <v>0</v>
      </c>
      <c r="P40" s="48">
        <v>0</v>
      </c>
      <c r="Q40" s="53">
        <f t="shared" si="2"/>
        <v>43</v>
      </c>
      <c r="R40" s="47"/>
      <c r="S40" s="48">
        <v>0</v>
      </c>
      <c r="T40" s="35">
        <f t="shared" si="3"/>
        <v>69</v>
      </c>
      <c r="U40" s="27">
        <f t="shared" si="1"/>
        <v>0</v>
      </c>
      <c r="V40" s="28">
        <f t="shared" si="4"/>
        <v>69</v>
      </c>
      <c r="W40" s="29">
        <f t="shared" si="5"/>
        <v>69</v>
      </c>
      <c r="X40" s="41">
        <f t="shared" si="10"/>
        <v>0</v>
      </c>
    </row>
    <row r="41" spans="1:24" s="30" customFormat="1" ht="21" customHeight="1">
      <c r="A41" s="43">
        <v>5.2</v>
      </c>
      <c r="B41" s="44" t="s">
        <v>77</v>
      </c>
      <c r="C41" s="34">
        <f>F41</f>
        <v>8</v>
      </c>
      <c r="D41" s="45">
        <f>E41+F41</f>
        <v>10</v>
      </c>
      <c r="E41" s="45">
        <v>2</v>
      </c>
      <c r="F41" s="48">
        <v>8</v>
      </c>
      <c r="G41" s="48">
        <v>0</v>
      </c>
      <c r="H41" s="48">
        <v>0</v>
      </c>
      <c r="I41" s="34">
        <f>D41-G41-H41</f>
        <v>10</v>
      </c>
      <c r="J41" s="34">
        <f>L41+M41+N41+P41</f>
        <v>10</v>
      </c>
      <c r="K41" s="34">
        <f>M41+L41</f>
        <v>9</v>
      </c>
      <c r="L41" s="48">
        <v>9</v>
      </c>
      <c r="M41" s="48">
        <v>0</v>
      </c>
      <c r="N41" s="48">
        <v>1</v>
      </c>
      <c r="O41" s="48">
        <v>0</v>
      </c>
      <c r="P41" s="48">
        <v>0</v>
      </c>
      <c r="Q41" s="53">
        <f t="shared" si="2"/>
        <v>0</v>
      </c>
      <c r="R41" s="47"/>
      <c r="S41" s="48">
        <v>0</v>
      </c>
      <c r="T41" s="48">
        <f>N41+O41+P41+Q41+R41+S41</f>
        <v>1</v>
      </c>
      <c r="U41" s="27">
        <f>IF(J41&lt;&gt;0,K41/J41,"")</f>
        <v>0.9</v>
      </c>
      <c r="V41" s="28">
        <f t="shared" si="4"/>
        <v>10</v>
      </c>
      <c r="W41" s="29">
        <f>J41+Q41+S41</f>
        <v>10</v>
      </c>
      <c r="X41" s="41">
        <f t="shared" si="10"/>
        <v>0</v>
      </c>
    </row>
    <row r="42" spans="1:24" s="30" customFormat="1" ht="21" customHeight="1">
      <c r="A42" s="43">
        <v>5.3</v>
      </c>
      <c r="B42" s="44" t="s">
        <v>78</v>
      </c>
      <c r="C42" s="34">
        <f>F42</f>
        <v>21</v>
      </c>
      <c r="D42" s="45">
        <f>E42+F42</f>
        <v>81</v>
      </c>
      <c r="E42" s="45">
        <v>60</v>
      </c>
      <c r="F42" s="48">
        <v>21</v>
      </c>
      <c r="G42" s="48">
        <v>1</v>
      </c>
      <c r="H42" s="48">
        <v>0</v>
      </c>
      <c r="I42" s="34">
        <f>D42-G42-H42</f>
        <v>80</v>
      </c>
      <c r="J42" s="34">
        <f>L42+M42+N42+P42</f>
        <v>46</v>
      </c>
      <c r="K42" s="34">
        <f>M42+L42</f>
        <v>12</v>
      </c>
      <c r="L42" s="48">
        <v>10</v>
      </c>
      <c r="M42" s="48">
        <v>2</v>
      </c>
      <c r="N42" s="48">
        <v>34</v>
      </c>
      <c r="O42" s="48">
        <v>0</v>
      </c>
      <c r="P42" s="48">
        <v>0</v>
      </c>
      <c r="Q42" s="53">
        <f t="shared" si="2"/>
        <v>34</v>
      </c>
      <c r="R42" s="47"/>
      <c r="S42" s="48">
        <v>0</v>
      </c>
      <c r="T42" s="48">
        <f>N42+O42+P42+Q42+R42+S42</f>
        <v>68</v>
      </c>
      <c r="U42" s="27">
        <f>IF(J42&lt;&gt;0,K42/J42,"")</f>
        <v>0.2608695652173913</v>
      </c>
      <c r="V42" s="28">
        <f t="shared" si="4"/>
        <v>80</v>
      </c>
      <c r="W42" s="29">
        <f>J42+Q42+S42</f>
        <v>80</v>
      </c>
      <c r="X42" s="41">
        <f t="shared" si="10"/>
        <v>0</v>
      </c>
    </row>
    <row r="43" spans="1:24" s="30" customFormat="1" ht="21" customHeight="1">
      <c r="A43" s="43">
        <v>5.4</v>
      </c>
      <c r="B43" s="44" t="s">
        <v>79</v>
      </c>
      <c r="C43" s="34">
        <f>F43</f>
        <v>19</v>
      </c>
      <c r="D43" s="45">
        <f>E43+F43</f>
        <v>83</v>
      </c>
      <c r="E43" s="45">
        <v>64</v>
      </c>
      <c r="F43" s="48">
        <v>19</v>
      </c>
      <c r="G43" s="48">
        <v>0</v>
      </c>
      <c r="H43" s="48">
        <v>0</v>
      </c>
      <c r="I43" s="34">
        <f t="shared" si="7"/>
        <v>83</v>
      </c>
      <c r="J43" s="34">
        <f t="shared" si="8"/>
        <v>42</v>
      </c>
      <c r="K43" s="34">
        <f t="shared" si="9"/>
        <v>15</v>
      </c>
      <c r="L43" s="48">
        <v>15</v>
      </c>
      <c r="M43" s="48">
        <v>0</v>
      </c>
      <c r="N43" s="48">
        <v>27</v>
      </c>
      <c r="O43" s="48">
        <v>0</v>
      </c>
      <c r="P43" s="48">
        <v>0</v>
      </c>
      <c r="Q43" s="53">
        <f t="shared" si="2"/>
        <v>41</v>
      </c>
      <c r="R43" s="47"/>
      <c r="S43" s="48">
        <v>0</v>
      </c>
      <c r="T43" s="48">
        <f>N43+O43+P43+Q43+R43+S43</f>
        <v>68</v>
      </c>
      <c r="U43" s="27">
        <f>IF(J43&lt;&gt;0,K43/J43,"")</f>
        <v>0.35714285714285715</v>
      </c>
      <c r="V43" s="28">
        <f t="shared" si="4"/>
        <v>83</v>
      </c>
      <c r="W43" s="29">
        <f t="shared" si="5"/>
        <v>83</v>
      </c>
      <c r="X43" s="41">
        <f t="shared" si="10"/>
        <v>0</v>
      </c>
    </row>
    <row r="44" spans="1:24" s="42" customFormat="1" ht="24" customHeight="1">
      <c r="A44" s="49">
        <v>6</v>
      </c>
      <c r="B44" s="32" t="s">
        <v>80</v>
      </c>
      <c r="C44" s="33">
        <f>SUM(C45:C48)</f>
        <v>57</v>
      </c>
      <c r="D44" s="33">
        <f t="shared" si="6"/>
        <v>311</v>
      </c>
      <c r="E44" s="35">
        <f>SUM(E45:E48)</f>
        <v>213</v>
      </c>
      <c r="F44" s="35">
        <f>SUM(F45:F48)</f>
        <v>98</v>
      </c>
      <c r="G44" s="35">
        <f>SUM(G45:G48)</f>
        <v>0</v>
      </c>
      <c r="H44" s="35">
        <f>SUM(H45:H48)</f>
        <v>0</v>
      </c>
      <c r="I44" s="33">
        <f t="shared" si="7"/>
        <v>311</v>
      </c>
      <c r="J44" s="33">
        <f t="shared" si="8"/>
        <v>214</v>
      </c>
      <c r="K44" s="33">
        <f t="shared" si="9"/>
        <v>41</v>
      </c>
      <c r="L44" s="35">
        <f>SUM(L45:L48)</f>
        <v>41</v>
      </c>
      <c r="M44" s="35">
        <f>SUM(M45:M48)</f>
        <v>0</v>
      </c>
      <c r="N44" s="35">
        <f>SUM(N45:N48)</f>
        <v>173</v>
      </c>
      <c r="O44" s="35">
        <f>SUM(O45:O48)</f>
        <v>0</v>
      </c>
      <c r="P44" s="35">
        <f>SUM(P45:P48)</f>
        <v>0</v>
      </c>
      <c r="Q44" s="37">
        <f t="shared" si="2"/>
        <v>97</v>
      </c>
      <c r="R44" s="50"/>
      <c r="S44" s="35">
        <f>SUM(S45:S48)</f>
        <v>0</v>
      </c>
      <c r="T44" s="37">
        <f t="shared" si="3"/>
        <v>270</v>
      </c>
      <c r="U44" s="39">
        <f t="shared" si="1"/>
        <v>0.19158878504672897</v>
      </c>
      <c r="V44" s="28">
        <f t="shared" si="4"/>
        <v>311</v>
      </c>
      <c r="W44" s="41">
        <f t="shared" si="5"/>
        <v>311</v>
      </c>
      <c r="X44" s="41">
        <f t="shared" si="10"/>
        <v>0</v>
      </c>
    </row>
    <row r="45" spans="1:24" s="30" customFormat="1" ht="21" customHeight="1">
      <c r="A45" s="43">
        <v>6.1</v>
      </c>
      <c r="B45" s="44" t="s">
        <v>81</v>
      </c>
      <c r="C45" s="114">
        <v>19</v>
      </c>
      <c r="D45" s="34">
        <f t="shared" si="6"/>
        <v>100</v>
      </c>
      <c r="E45" s="45">
        <v>70</v>
      </c>
      <c r="F45" s="114">
        <v>30</v>
      </c>
      <c r="G45" s="48">
        <v>0</v>
      </c>
      <c r="H45" s="48">
        <v>0</v>
      </c>
      <c r="I45" s="34">
        <f t="shared" si="7"/>
        <v>100</v>
      </c>
      <c r="J45" s="34">
        <f t="shared" si="8"/>
        <v>67</v>
      </c>
      <c r="K45" s="34">
        <f t="shared" si="9"/>
        <v>14</v>
      </c>
      <c r="L45" s="48">
        <v>14</v>
      </c>
      <c r="M45" s="48">
        <v>0</v>
      </c>
      <c r="N45" s="114">
        <v>53</v>
      </c>
      <c r="O45" s="48">
        <v>0</v>
      </c>
      <c r="P45" s="48">
        <v>0</v>
      </c>
      <c r="Q45" s="53">
        <f t="shared" si="2"/>
        <v>33</v>
      </c>
      <c r="R45" s="47"/>
      <c r="S45" s="48">
        <v>0</v>
      </c>
      <c r="T45" s="48">
        <f t="shared" si="3"/>
        <v>86</v>
      </c>
      <c r="U45" s="27">
        <f t="shared" si="1"/>
        <v>0.208955223880597</v>
      </c>
      <c r="V45" s="28">
        <f t="shared" si="4"/>
        <v>100</v>
      </c>
      <c r="W45" s="29">
        <f t="shared" si="5"/>
        <v>100</v>
      </c>
      <c r="X45" s="41">
        <f t="shared" si="10"/>
        <v>0</v>
      </c>
    </row>
    <row r="46" spans="1:24" s="30" customFormat="1" ht="21" customHeight="1">
      <c r="A46" s="43">
        <v>6.3</v>
      </c>
      <c r="B46" s="44" t="s">
        <v>82</v>
      </c>
      <c r="C46" s="114">
        <v>16</v>
      </c>
      <c r="D46" s="34">
        <f t="shared" si="6"/>
        <v>92</v>
      </c>
      <c r="E46" s="45">
        <v>62</v>
      </c>
      <c r="F46" s="114">
        <v>30</v>
      </c>
      <c r="G46" s="48">
        <v>0</v>
      </c>
      <c r="H46" s="48">
        <v>0</v>
      </c>
      <c r="I46" s="34">
        <f t="shared" si="7"/>
        <v>92</v>
      </c>
      <c r="J46" s="34">
        <f t="shared" si="8"/>
        <v>68</v>
      </c>
      <c r="K46" s="34">
        <f t="shared" si="9"/>
        <v>6</v>
      </c>
      <c r="L46" s="48">
        <v>6</v>
      </c>
      <c r="M46" s="48">
        <v>0</v>
      </c>
      <c r="N46" s="114">
        <v>62</v>
      </c>
      <c r="O46" s="48">
        <v>0</v>
      </c>
      <c r="P46" s="48">
        <v>0</v>
      </c>
      <c r="Q46" s="53">
        <f t="shared" si="2"/>
        <v>24</v>
      </c>
      <c r="R46" s="47"/>
      <c r="S46" s="48">
        <v>0</v>
      </c>
      <c r="T46" s="48">
        <f t="shared" si="3"/>
        <v>86</v>
      </c>
      <c r="U46" s="27">
        <f t="shared" si="1"/>
        <v>0.08823529411764706</v>
      </c>
      <c r="V46" s="28">
        <f t="shared" si="4"/>
        <v>92</v>
      </c>
      <c r="W46" s="29">
        <f t="shared" si="5"/>
        <v>92</v>
      </c>
      <c r="X46" s="41">
        <f t="shared" si="10"/>
        <v>0</v>
      </c>
    </row>
    <row r="47" spans="1:24" s="30" customFormat="1" ht="21" customHeight="1">
      <c r="A47" s="43">
        <v>6.4</v>
      </c>
      <c r="B47" s="44" t="s">
        <v>83</v>
      </c>
      <c r="C47" s="114">
        <v>21</v>
      </c>
      <c r="D47" s="34">
        <f t="shared" si="6"/>
        <v>117</v>
      </c>
      <c r="E47" s="45">
        <v>81</v>
      </c>
      <c r="F47" s="114">
        <v>36</v>
      </c>
      <c r="G47" s="48">
        <v>0</v>
      </c>
      <c r="H47" s="48">
        <v>0</v>
      </c>
      <c r="I47" s="34">
        <f t="shared" si="7"/>
        <v>117</v>
      </c>
      <c r="J47" s="34">
        <f t="shared" si="8"/>
        <v>77</v>
      </c>
      <c r="K47" s="34">
        <f t="shared" si="9"/>
        <v>21</v>
      </c>
      <c r="L47" s="48">
        <v>21</v>
      </c>
      <c r="M47" s="48">
        <v>0</v>
      </c>
      <c r="N47" s="114">
        <v>56</v>
      </c>
      <c r="O47" s="48">
        <v>0</v>
      </c>
      <c r="P47" s="48">
        <v>0</v>
      </c>
      <c r="Q47" s="53">
        <f t="shared" si="2"/>
        <v>40</v>
      </c>
      <c r="R47" s="47"/>
      <c r="S47" s="48">
        <v>0</v>
      </c>
      <c r="T47" s="48">
        <f t="shared" si="3"/>
        <v>96</v>
      </c>
      <c r="U47" s="27">
        <f t="shared" si="1"/>
        <v>0.2727272727272727</v>
      </c>
      <c r="V47" s="28">
        <f t="shared" si="4"/>
        <v>117</v>
      </c>
      <c r="W47" s="29">
        <f t="shared" si="5"/>
        <v>117</v>
      </c>
      <c r="X47" s="41">
        <f t="shared" si="10"/>
        <v>0</v>
      </c>
    </row>
    <row r="48" spans="1:24" s="30" customFormat="1" ht="21" customHeight="1">
      <c r="A48" s="43">
        <v>6.5</v>
      </c>
      <c r="B48" s="44" t="s">
        <v>84</v>
      </c>
      <c r="C48" s="115">
        <v>1</v>
      </c>
      <c r="D48" s="34">
        <f t="shared" si="6"/>
        <v>2</v>
      </c>
      <c r="E48" s="153"/>
      <c r="F48" s="115">
        <v>2</v>
      </c>
      <c r="G48" s="48">
        <v>0</v>
      </c>
      <c r="H48" s="48">
        <v>0</v>
      </c>
      <c r="I48" s="34">
        <f t="shared" si="7"/>
        <v>2</v>
      </c>
      <c r="J48" s="34">
        <f t="shared" si="8"/>
        <v>2</v>
      </c>
      <c r="K48" s="34">
        <f t="shared" si="9"/>
        <v>0</v>
      </c>
      <c r="L48" s="48">
        <v>0</v>
      </c>
      <c r="M48" s="48">
        <v>0</v>
      </c>
      <c r="N48" s="115">
        <v>2</v>
      </c>
      <c r="O48" s="48">
        <v>0</v>
      </c>
      <c r="P48" s="48">
        <v>0</v>
      </c>
      <c r="Q48" s="53">
        <f t="shared" si="2"/>
        <v>0</v>
      </c>
      <c r="R48" s="47"/>
      <c r="S48" s="48">
        <v>0</v>
      </c>
      <c r="T48" s="48">
        <f t="shared" si="3"/>
        <v>2</v>
      </c>
      <c r="U48" s="27">
        <f t="shared" si="1"/>
        <v>0</v>
      </c>
      <c r="V48" s="28">
        <f t="shared" si="4"/>
        <v>2</v>
      </c>
      <c r="W48" s="29">
        <f t="shared" si="5"/>
        <v>2</v>
      </c>
      <c r="X48" s="41">
        <f t="shared" si="10"/>
        <v>0</v>
      </c>
    </row>
    <row r="49" spans="1:24" s="59" customFormat="1" ht="18" customHeight="1">
      <c r="A49" s="190"/>
      <c r="B49" s="191"/>
      <c r="C49" s="191"/>
      <c r="D49" s="191"/>
      <c r="E49" s="191"/>
      <c r="F49" s="55"/>
      <c r="G49" s="55"/>
      <c r="H49" s="55"/>
      <c r="I49" s="56"/>
      <c r="J49" s="56"/>
      <c r="K49" s="56"/>
      <c r="L49" s="57"/>
      <c r="M49" s="57"/>
      <c r="N49" s="192" t="s">
        <v>91</v>
      </c>
      <c r="O49" s="193"/>
      <c r="P49" s="193"/>
      <c r="Q49" s="193"/>
      <c r="R49" s="193"/>
      <c r="S49" s="193"/>
      <c r="T49" s="193"/>
      <c r="U49" s="193"/>
      <c r="V49" s="58"/>
      <c r="W49" s="58"/>
      <c r="X49" s="58"/>
    </row>
    <row r="50" spans="1:21" ht="15.75" customHeight="1">
      <c r="A50" s="194" t="s">
        <v>85</v>
      </c>
      <c r="B50" s="195"/>
      <c r="C50" s="195"/>
      <c r="D50" s="195"/>
      <c r="E50" s="195"/>
      <c r="F50" s="60"/>
      <c r="G50" s="60"/>
      <c r="H50" s="60"/>
      <c r="I50" s="61"/>
      <c r="J50" s="61"/>
      <c r="K50" s="61"/>
      <c r="L50" s="62"/>
      <c r="M50" s="62"/>
      <c r="N50" s="196" t="str">
        <f>'[2]TT'!C5</f>
        <v>PHÓ CỤC TRƯỞNG</v>
      </c>
      <c r="O50" s="196"/>
      <c r="P50" s="196"/>
      <c r="Q50" s="196"/>
      <c r="R50" s="196"/>
      <c r="S50" s="196"/>
      <c r="T50" s="196"/>
      <c r="U50" s="196"/>
    </row>
    <row r="51" spans="1:21" ht="57.75" customHeight="1">
      <c r="A51" s="63"/>
      <c r="B51" s="60"/>
      <c r="C51" s="63"/>
      <c r="D51" s="63"/>
      <c r="E51" s="64"/>
      <c r="F51" s="65"/>
      <c r="G51" s="65"/>
      <c r="H51" s="65"/>
      <c r="I51" s="61"/>
      <c r="J51" s="61"/>
      <c r="K51" s="61"/>
      <c r="L51" s="62"/>
      <c r="M51" s="62"/>
      <c r="N51" s="62"/>
      <c r="O51" s="62"/>
      <c r="P51" s="66"/>
      <c r="Q51" s="67"/>
      <c r="R51" s="65"/>
      <c r="S51" s="61"/>
      <c r="T51" s="68"/>
      <c r="U51" s="68"/>
    </row>
    <row r="52" spans="1:21" ht="15.75" customHeight="1">
      <c r="A52" s="186" t="str">
        <f>'[1]TT'!C6</f>
        <v>TRẦN ĐỨC TOẢN</v>
      </c>
      <c r="B52" s="186"/>
      <c r="C52" s="186"/>
      <c r="D52" s="186"/>
      <c r="E52" s="186"/>
      <c r="F52" s="69" t="s">
        <v>45</v>
      </c>
      <c r="G52" s="69"/>
      <c r="H52" s="69"/>
      <c r="I52" s="69"/>
      <c r="J52" s="69"/>
      <c r="K52" s="69"/>
      <c r="L52" s="70"/>
      <c r="M52" s="70"/>
      <c r="N52" s="187" t="str">
        <f>'[2]TT'!C3</f>
        <v>Vũ Ngọc Phương</v>
      </c>
      <c r="O52" s="187"/>
      <c r="P52" s="187"/>
      <c r="Q52" s="187"/>
      <c r="R52" s="187"/>
      <c r="S52" s="187"/>
      <c r="T52" s="187"/>
      <c r="U52" s="187"/>
    </row>
    <row r="53" spans="1:21" ht="15.75">
      <c r="A53" s="69"/>
      <c r="B53" s="69"/>
      <c r="C53" s="69"/>
      <c r="D53" s="69"/>
      <c r="E53" s="71"/>
      <c r="F53" s="69"/>
      <c r="G53" s="69"/>
      <c r="H53" s="69"/>
      <c r="I53" s="69"/>
      <c r="J53" s="69"/>
      <c r="K53" s="69"/>
      <c r="L53" s="70"/>
      <c r="M53" s="70"/>
      <c r="N53" s="72"/>
      <c r="O53" s="72"/>
      <c r="P53" s="72"/>
      <c r="Q53" s="73"/>
      <c r="R53" s="74"/>
      <c r="S53" s="74"/>
      <c r="T53" s="74"/>
      <c r="U53" s="74"/>
    </row>
  </sheetData>
  <sheetProtection formatCells="0" formatColumns="0" formatRows="0" insertRows="0" deleteRows="0"/>
  <mergeCells count="35">
    <mergeCell ref="A52:E52"/>
    <mergeCell ref="N52:U52"/>
    <mergeCell ref="A8:B8"/>
    <mergeCell ref="A9:B9"/>
    <mergeCell ref="A49:E49"/>
    <mergeCell ref="N49:U49"/>
    <mergeCell ref="A50:E50"/>
    <mergeCell ref="N50:U50"/>
    <mergeCell ref="R4:R7"/>
    <mergeCell ref="S4:S7"/>
    <mergeCell ref="K5:K7"/>
    <mergeCell ref="L5:M6"/>
    <mergeCell ref="N5:N7"/>
    <mergeCell ref="O5:O7"/>
    <mergeCell ref="P5:P7"/>
    <mergeCell ref="H3:H7"/>
    <mergeCell ref="I3:I7"/>
    <mergeCell ref="J3:S3"/>
    <mergeCell ref="T3:T7"/>
    <mergeCell ref="U3:U7"/>
    <mergeCell ref="E4:E7"/>
    <mergeCell ref="F4:F7"/>
    <mergeCell ref="J4:J7"/>
    <mergeCell ref="K4:P4"/>
    <mergeCell ref="Q4:Q7"/>
    <mergeCell ref="A1:D1"/>
    <mergeCell ref="E1:O1"/>
    <mergeCell ref="P1:U1"/>
    <mergeCell ref="P2:U2"/>
    <mergeCell ref="A3:A7"/>
    <mergeCell ref="B3:B7"/>
    <mergeCell ref="C3:C7"/>
    <mergeCell ref="D3:D7"/>
    <mergeCell ref="E3:F3"/>
    <mergeCell ref="G3:G7"/>
  </mergeCells>
  <printOptions/>
  <pageMargins left="0.393700787401575" right="0.393700787401575" top="0.39" bottom="0.4" header="0.31496062992126" footer="0.31496062992126"/>
  <pageSetup horizontalDpi="600" verticalDpi="600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Y52"/>
  <sheetViews>
    <sheetView view="pageBreakPreview" zoomScale="85" zoomScaleSheetLayoutView="85" zoomScalePageLayoutView="0" workbookViewId="0" topLeftCell="A1">
      <selection activeCell="D13" sqref="D13"/>
    </sheetView>
  </sheetViews>
  <sheetFormatPr defaultColWidth="9.00390625" defaultRowHeight="15.75"/>
  <cols>
    <col min="1" max="1" width="3.50390625" style="2" customWidth="1"/>
    <col min="2" max="2" width="17.75390625" style="2" customWidth="1"/>
    <col min="3" max="3" width="11.75390625" style="2" customWidth="1"/>
    <col min="4" max="4" width="12.00390625" style="2" customWidth="1"/>
    <col min="5" max="5" width="11.50390625" style="2" customWidth="1"/>
    <col min="6" max="6" width="11.25390625" style="2" customWidth="1"/>
    <col min="7" max="7" width="5.875" style="2" customWidth="1"/>
    <col min="8" max="8" width="12.125" style="2" customWidth="1"/>
    <col min="9" max="9" width="10.875" style="2" customWidth="1"/>
    <col min="10" max="10" width="9.625" style="2" customWidth="1"/>
    <col min="11" max="11" width="10.125" style="2" customWidth="1"/>
    <col min="12" max="12" width="8.875" style="2" customWidth="1"/>
    <col min="13" max="13" width="8.125" style="80" customWidth="1"/>
    <col min="14" max="14" width="10.875" style="80" customWidth="1"/>
    <col min="15" max="15" width="6.75390625" style="80" customWidth="1"/>
    <col min="16" max="16" width="8.50390625" style="80" customWidth="1"/>
    <col min="17" max="17" width="11.25390625" style="80" customWidth="1"/>
    <col min="18" max="18" width="6.00390625" style="80" customWidth="1"/>
    <col min="19" max="19" width="11.125" style="80" customWidth="1"/>
    <col min="20" max="20" width="12.25390625" style="80" customWidth="1"/>
    <col min="21" max="21" width="7.25390625" style="80" customWidth="1"/>
    <col min="22" max="22" width="15.75390625" style="76" hidden="1" customWidth="1"/>
    <col min="23" max="23" width="14.875" style="1" hidden="1" customWidth="1"/>
    <col min="24" max="24" width="13.00390625" style="1" customWidth="1"/>
    <col min="25" max="25" width="15.125" style="1" customWidth="1"/>
    <col min="26" max="16384" width="9.00390625" style="2" customWidth="1"/>
  </cols>
  <sheetData>
    <row r="1" spans="1:21" ht="69" customHeight="1">
      <c r="A1" s="197" t="s">
        <v>86</v>
      </c>
      <c r="B1" s="197"/>
      <c r="C1" s="197"/>
      <c r="D1" s="197"/>
      <c r="E1" s="198" t="s">
        <v>119</v>
      </c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9" t="str">
        <f>'[1]TT'!C2</f>
        <v>Đơn vị  báo cáo: 
Đơn vị nhận báo cáo: </v>
      </c>
      <c r="Q1" s="199"/>
      <c r="R1" s="199"/>
      <c r="S1" s="199"/>
      <c r="T1" s="199"/>
      <c r="U1" s="199"/>
    </row>
    <row r="2" spans="1:21" ht="17.25" customHeight="1">
      <c r="A2" s="3"/>
      <c r="B2" s="7"/>
      <c r="C2" s="81"/>
      <c r="D2" s="81"/>
      <c r="E2" s="81"/>
      <c r="F2" s="7"/>
      <c r="G2" s="7"/>
      <c r="H2" s="82"/>
      <c r="I2" s="83">
        <f>COUNTBLANK(D10:U48)</f>
        <v>4</v>
      </c>
      <c r="J2" s="84">
        <f>COUNTA(D10:U48)</f>
        <v>698</v>
      </c>
      <c r="K2" s="84">
        <f>I2+J2</f>
        <v>702</v>
      </c>
      <c r="L2" s="84"/>
      <c r="M2" s="85"/>
      <c r="N2" s="79"/>
      <c r="O2" s="79"/>
      <c r="P2" s="165" t="s">
        <v>87</v>
      </c>
      <c r="Q2" s="165"/>
      <c r="R2" s="165"/>
      <c r="S2" s="165"/>
      <c r="T2" s="165"/>
      <c r="U2" s="165"/>
    </row>
    <row r="3" spans="1:25" s="13" customFormat="1" ht="15.75" customHeight="1">
      <c r="A3" s="200" t="s">
        <v>2</v>
      </c>
      <c r="B3" s="200" t="s">
        <v>3</v>
      </c>
      <c r="C3" s="203" t="s">
        <v>5</v>
      </c>
      <c r="D3" s="204" t="s">
        <v>6</v>
      </c>
      <c r="E3" s="204"/>
      <c r="F3" s="205" t="s">
        <v>7</v>
      </c>
      <c r="G3" s="206" t="s">
        <v>88</v>
      </c>
      <c r="H3" s="205" t="s">
        <v>9</v>
      </c>
      <c r="I3" s="207" t="s">
        <v>6</v>
      </c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9" t="s">
        <v>10</v>
      </c>
      <c r="U3" s="212" t="s">
        <v>11</v>
      </c>
      <c r="V3" s="86"/>
      <c r="W3" s="12"/>
      <c r="X3" s="12"/>
      <c r="Y3" s="12"/>
    </row>
    <row r="4" spans="1:25" s="15" customFormat="1" ht="15.75" customHeight="1">
      <c r="A4" s="201"/>
      <c r="B4" s="201"/>
      <c r="C4" s="203"/>
      <c r="D4" s="204" t="s">
        <v>12</v>
      </c>
      <c r="E4" s="204" t="s">
        <v>13</v>
      </c>
      <c r="F4" s="205"/>
      <c r="G4" s="206"/>
      <c r="H4" s="205"/>
      <c r="I4" s="205" t="s">
        <v>14</v>
      </c>
      <c r="J4" s="204" t="s">
        <v>6</v>
      </c>
      <c r="K4" s="204"/>
      <c r="L4" s="204"/>
      <c r="M4" s="204"/>
      <c r="N4" s="204"/>
      <c r="O4" s="204"/>
      <c r="P4" s="204"/>
      <c r="Q4" s="206" t="s">
        <v>15</v>
      </c>
      <c r="R4" s="205" t="s">
        <v>16</v>
      </c>
      <c r="S4" s="214" t="s">
        <v>17</v>
      </c>
      <c r="T4" s="210"/>
      <c r="U4" s="213"/>
      <c r="V4" s="87"/>
      <c r="W4" s="14"/>
      <c r="X4" s="14"/>
      <c r="Y4" s="14"/>
    </row>
    <row r="5" spans="1:25" s="13" customFormat="1" ht="15.75" customHeight="1">
      <c r="A5" s="201"/>
      <c r="B5" s="201"/>
      <c r="C5" s="203"/>
      <c r="D5" s="204"/>
      <c r="E5" s="204"/>
      <c r="F5" s="205"/>
      <c r="G5" s="206"/>
      <c r="H5" s="205"/>
      <c r="I5" s="205"/>
      <c r="J5" s="205" t="s">
        <v>18</v>
      </c>
      <c r="K5" s="204" t="s">
        <v>6</v>
      </c>
      <c r="L5" s="204"/>
      <c r="M5" s="204"/>
      <c r="N5" s="205" t="s">
        <v>19</v>
      </c>
      <c r="O5" s="205" t="s">
        <v>20</v>
      </c>
      <c r="P5" s="205" t="s">
        <v>21</v>
      </c>
      <c r="Q5" s="206"/>
      <c r="R5" s="205"/>
      <c r="S5" s="214"/>
      <c r="T5" s="210"/>
      <c r="U5" s="213"/>
      <c r="V5" s="86"/>
      <c r="W5" s="12"/>
      <c r="X5" s="12"/>
      <c r="Y5" s="12"/>
    </row>
    <row r="6" spans="1:25" s="13" customFormat="1" ht="15.75" customHeight="1">
      <c r="A6" s="201"/>
      <c r="B6" s="201"/>
      <c r="C6" s="203"/>
      <c r="D6" s="204"/>
      <c r="E6" s="204"/>
      <c r="F6" s="205"/>
      <c r="G6" s="206"/>
      <c r="H6" s="205"/>
      <c r="I6" s="205"/>
      <c r="J6" s="205"/>
      <c r="K6" s="204"/>
      <c r="L6" s="204"/>
      <c r="M6" s="204"/>
      <c r="N6" s="205"/>
      <c r="O6" s="205"/>
      <c r="P6" s="205"/>
      <c r="Q6" s="206"/>
      <c r="R6" s="205"/>
      <c r="S6" s="214"/>
      <c r="T6" s="210"/>
      <c r="U6" s="213"/>
      <c r="V6" s="86"/>
      <c r="W6" s="12"/>
      <c r="X6" s="12"/>
      <c r="Y6" s="12"/>
    </row>
    <row r="7" spans="1:25" s="13" customFormat="1" ht="69" customHeight="1">
      <c r="A7" s="202"/>
      <c r="B7" s="202"/>
      <c r="C7" s="203"/>
      <c r="D7" s="204"/>
      <c r="E7" s="204"/>
      <c r="F7" s="205"/>
      <c r="G7" s="206"/>
      <c r="H7" s="205"/>
      <c r="I7" s="205"/>
      <c r="J7" s="205"/>
      <c r="K7" s="88" t="s">
        <v>22</v>
      </c>
      <c r="L7" s="88" t="s">
        <v>23</v>
      </c>
      <c r="M7" s="88" t="s">
        <v>89</v>
      </c>
      <c r="N7" s="205"/>
      <c r="O7" s="205"/>
      <c r="P7" s="205"/>
      <c r="Q7" s="206"/>
      <c r="R7" s="205"/>
      <c r="S7" s="214"/>
      <c r="T7" s="211"/>
      <c r="U7" s="213"/>
      <c r="V7" s="86"/>
      <c r="W7" s="17"/>
      <c r="X7" s="12"/>
      <c r="Y7" s="12"/>
    </row>
    <row r="8" spans="1:21" ht="14.25" customHeight="1">
      <c r="A8" s="188" t="s">
        <v>24</v>
      </c>
      <c r="B8" s="189"/>
      <c r="C8" s="18" t="s">
        <v>25</v>
      </c>
      <c r="D8" s="18" t="s">
        <v>26</v>
      </c>
      <c r="E8" s="18" t="s">
        <v>27</v>
      </c>
      <c r="F8" s="18" t="s">
        <v>28</v>
      </c>
      <c r="G8" s="18" t="s">
        <v>29</v>
      </c>
      <c r="H8" s="18" t="s">
        <v>30</v>
      </c>
      <c r="I8" s="18" t="s">
        <v>31</v>
      </c>
      <c r="J8" s="18" t="s">
        <v>32</v>
      </c>
      <c r="K8" s="18" t="s">
        <v>33</v>
      </c>
      <c r="L8" s="18" t="s">
        <v>34</v>
      </c>
      <c r="M8" s="18" t="s">
        <v>35</v>
      </c>
      <c r="N8" s="18" t="s">
        <v>36</v>
      </c>
      <c r="O8" s="18" t="s">
        <v>37</v>
      </c>
      <c r="P8" s="18" t="s">
        <v>38</v>
      </c>
      <c r="Q8" s="18" t="s">
        <v>39</v>
      </c>
      <c r="R8" s="18" t="s">
        <v>40</v>
      </c>
      <c r="S8" s="18" t="s">
        <v>41</v>
      </c>
      <c r="T8" s="18" t="s">
        <v>42</v>
      </c>
      <c r="U8" s="18" t="s">
        <v>43</v>
      </c>
    </row>
    <row r="9" spans="1:25" ht="23.25" customHeight="1">
      <c r="A9" s="188" t="s">
        <v>90</v>
      </c>
      <c r="B9" s="189"/>
      <c r="C9" s="89">
        <f>D9+E9</f>
        <v>1138962192</v>
      </c>
      <c r="D9" s="90">
        <f>D10+D16</f>
        <v>960555894</v>
      </c>
      <c r="E9" s="90">
        <f aca="true" t="shared" si="0" ref="E9:T9">E10+E16</f>
        <v>178406298</v>
      </c>
      <c r="F9" s="90">
        <f t="shared" si="0"/>
        <v>162932092</v>
      </c>
      <c r="G9" s="90">
        <f t="shared" si="0"/>
        <v>0</v>
      </c>
      <c r="H9" s="90">
        <f t="shared" si="0"/>
        <v>976030100</v>
      </c>
      <c r="I9" s="90">
        <f t="shared" si="0"/>
        <v>895994690</v>
      </c>
      <c r="J9" s="90">
        <f t="shared" si="0"/>
        <v>7364260</v>
      </c>
      <c r="K9" s="90">
        <f t="shared" si="0"/>
        <v>7332602</v>
      </c>
      <c r="L9" s="90">
        <f t="shared" si="0"/>
        <v>31658</v>
      </c>
      <c r="M9" s="90">
        <f t="shared" si="0"/>
        <v>0</v>
      </c>
      <c r="N9" s="90">
        <f>N10+N16</f>
        <v>888418744</v>
      </c>
      <c r="O9" s="90">
        <f t="shared" si="0"/>
        <v>0</v>
      </c>
      <c r="P9" s="90">
        <f t="shared" si="0"/>
        <v>211686</v>
      </c>
      <c r="Q9" s="90">
        <f>Q10+Q16</f>
        <v>79829622</v>
      </c>
      <c r="R9" s="90">
        <f t="shared" si="0"/>
        <v>0</v>
      </c>
      <c r="S9" s="90">
        <f t="shared" si="0"/>
        <v>205788</v>
      </c>
      <c r="T9" s="90">
        <f t="shared" si="0"/>
        <v>968665840</v>
      </c>
      <c r="U9" s="91">
        <f aca="true" t="shared" si="1" ref="U9:U48">IF(I9&lt;&gt;0,J9/I9,"")</f>
        <v>0.008219088887680796</v>
      </c>
      <c r="V9" s="92">
        <f>IF(H9=C9-F9-G9,H9,"KT lai")</f>
        <v>976030100</v>
      </c>
      <c r="W9" s="41">
        <f>I9+Q9+R9+S9</f>
        <v>976030100</v>
      </c>
      <c r="X9" s="41">
        <f>V9-W9</f>
        <v>0</v>
      </c>
      <c r="Y9" s="93"/>
    </row>
    <row r="10" spans="1:25" s="42" customFormat="1" ht="24" customHeight="1">
      <c r="A10" s="94" t="s">
        <v>46</v>
      </c>
      <c r="B10" s="95" t="s">
        <v>47</v>
      </c>
      <c r="C10" s="96">
        <f aca="true" t="shared" si="2" ref="C10:C48">D10+E10</f>
        <v>659010742</v>
      </c>
      <c r="D10" s="97">
        <f>SUM(D11:D15)</f>
        <v>657298621</v>
      </c>
      <c r="E10" s="97">
        <f>SUM(E11:E15)</f>
        <v>1712121</v>
      </c>
      <c r="F10" s="97">
        <f>SUM(F11:F15)</f>
        <v>49258</v>
      </c>
      <c r="G10" s="97">
        <f>SUM(G11:G15)</f>
        <v>0</v>
      </c>
      <c r="H10" s="97">
        <f aca="true" t="shared" si="3" ref="H10:T10">SUM(H11:H15)</f>
        <v>658961484</v>
      </c>
      <c r="I10" s="97">
        <f t="shared" si="3"/>
        <v>645958850</v>
      </c>
      <c r="J10" s="97">
        <f t="shared" si="3"/>
        <v>901082</v>
      </c>
      <c r="K10" s="97">
        <f t="shared" si="3"/>
        <v>901082</v>
      </c>
      <c r="L10" s="97">
        <f t="shared" si="3"/>
        <v>0</v>
      </c>
      <c r="M10" s="97">
        <f t="shared" si="3"/>
        <v>0</v>
      </c>
      <c r="N10" s="97">
        <f t="shared" si="3"/>
        <v>645057768</v>
      </c>
      <c r="O10" s="97">
        <f t="shared" si="3"/>
        <v>0</v>
      </c>
      <c r="P10" s="97">
        <f t="shared" si="3"/>
        <v>0</v>
      </c>
      <c r="Q10" s="97">
        <f t="shared" si="3"/>
        <v>13002634</v>
      </c>
      <c r="R10" s="97">
        <f t="shared" si="3"/>
        <v>0</v>
      </c>
      <c r="S10" s="97">
        <f t="shared" si="3"/>
        <v>0</v>
      </c>
      <c r="T10" s="97">
        <f t="shared" si="3"/>
        <v>658060402</v>
      </c>
      <c r="U10" s="98">
        <f t="shared" si="1"/>
        <v>0.001394952635140768</v>
      </c>
      <c r="V10" s="92">
        <f>IF(H10=C10-F10-G10,H10,"KT lai")</f>
        <v>658961484</v>
      </c>
      <c r="W10" s="41">
        <f>I10+Q10+R10+S10</f>
        <v>658961484</v>
      </c>
      <c r="X10" s="41">
        <f>V10-W10</f>
        <v>0</v>
      </c>
      <c r="Y10" s="93"/>
    </row>
    <row r="11" spans="1:25" s="30" customFormat="1" ht="21.75" customHeight="1">
      <c r="A11" s="99">
        <v>1.1</v>
      </c>
      <c r="B11" s="44" t="s">
        <v>48</v>
      </c>
      <c r="C11" s="89">
        <f t="shared" si="2"/>
        <v>5148101</v>
      </c>
      <c r="D11" s="108">
        <v>5135701</v>
      </c>
      <c r="E11" s="101">
        <v>12400</v>
      </c>
      <c r="F11" s="101">
        <v>0</v>
      </c>
      <c r="G11" s="101">
        <v>0</v>
      </c>
      <c r="H11" s="89">
        <f aca="true" t="shared" si="4" ref="H11:H48">C11-G11-F11</f>
        <v>5148101</v>
      </c>
      <c r="I11" s="89">
        <f>J11+N11+O11+P11</f>
        <v>4309992</v>
      </c>
      <c r="J11" s="89">
        <f aca="true" t="shared" si="5" ref="J11:J48">K11+L11+M11</f>
        <v>12400</v>
      </c>
      <c r="K11" s="101">
        <v>12400</v>
      </c>
      <c r="L11" s="101">
        <v>0</v>
      </c>
      <c r="M11" s="101">
        <v>0</v>
      </c>
      <c r="N11" s="101">
        <v>4297592</v>
      </c>
      <c r="O11" s="101">
        <v>0</v>
      </c>
      <c r="P11" s="101">
        <v>0</v>
      </c>
      <c r="Q11" s="102">
        <f>H11-I11-R11-S11</f>
        <v>838109</v>
      </c>
      <c r="R11" s="101">
        <v>0</v>
      </c>
      <c r="S11" s="101">
        <v>0</v>
      </c>
      <c r="T11" s="89">
        <f aca="true" t="shared" si="6" ref="T11:T48">SUM(N11:S11)</f>
        <v>5135701</v>
      </c>
      <c r="U11" s="91">
        <f t="shared" si="1"/>
        <v>0.002877035502618102</v>
      </c>
      <c r="V11" s="92">
        <f aca="true" t="shared" si="7" ref="V11:V48">IF(H11=C11-F11-G11,H11,"KT lai")</f>
        <v>5148101</v>
      </c>
      <c r="W11" s="41">
        <f aca="true" t="shared" si="8" ref="W11:W48">I11+Q11+R11+S11</f>
        <v>5148101</v>
      </c>
      <c r="X11" s="41">
        <f aca="true" t="shared" si="9" ref="X11:X48">V11-W11</f>
        <v>0</v>
      </c>
      <c r="Y11" s="93"/>
    </row>
    <row r="12" spans="1:25" s="30" customFormat="1" ht="21.75" customHeight="1">
      <c r="A12" s="99">
        <v>1.2</v>
      </c>
      <c r="B12" s="44" t="s">
        <v>49</v>
      </c>
      <c r="C12" s="89">
        <f t="shared" si="2"/>
        <v>8746462</v>
      </c>
      <c r="D12" s="108">
        <v>7742102</v>
      </c>
      <c r="E12" s="101">
        <v>1004360</v>
      </c>
      <c r="F12" s="101">
        <v>49258</v>
      </c>
      <c r="G12" s="101">
        <v>0</v>
      </c>
      <c r="H12" s="89">
        <f t="shared" si="4"/>
        <v>8697204</v>
      </c>
      <c r="I12" s="89">
        <f>J12+N12+O12+P12</f>
        <v>3070673</v>
      </c>
      <c r="J12" s="89">
        <f t="shared" si="5"/>
        <v>592580</v>
      </c>
      <c r="K12" s="101">
        <v>592580</v>
      </c>
      <c r="L12" s="101">
        <v>0</v>
      </c>
      <c r="M12" s="101">
        <v>0</v>
      </c>
      <c r="N12" s="101">
        <v>2478093</v>
      </c>
      <c r="O12" s="101">
        <v>0</v>
      </c>
      <c r="P12" s="101">
        <v>0</v>
      </c>
      <c r="Q12" s="102">
        <f>H12-I12-R12-S12</f>
        <v>5626531</v>
      </c>
      <c r="R12" s="101">
        <v>0</v>
      </c>
      <c r="S12" s="101">
        <v>0</v>
      </c>
      <c r="T12" s="89">
        <f t="shared" si="6"/>
        <v>8104624</v>
      </c>
      <c r="U12" s="91">
        <f t="shared" si="1"/>
        <v>0.1929804964579426</v>
      </c>
      <c r="V12" s="92">
        <f t="shared" si="7"/>
        <v>8697204</v>
      </c>
      <c r="W12" s="41">
        <f t="shared" si="8"/>
        <v>8697204</v>
      </c>
      <c r="X12" s="41">
        <f t="shared" si="9"/>
        <v>0</v>
      </c>
      <c r="Y12" s="93"/>
    </row>
    <row r="13" spans="1:25" s="158" customFormat="1" ht="21.75" customHeight="1">
      <c r="A13" s="99">
        <v>1.3</v>
      </c>
      <c r="B13" s="100" t="s">
        <v>50</v>
      </c>
      <c r="C13" s="89">
        <f t="shared" si="2"/>
        <v>633334477</v>
      </c>
      <c r="D13" s="154">
        <f>634008403-1251382-5975</f>
        <v>632751046</v>
      </c>
      <c r="E13" s="101">
        <v>583431</v>
      </c>
      <c r="F13" s="101">
        <v>0</v>
      </c>
      <c r="G13" s="101">
        <v>0</v>
      </c>
      <c r="H13" s="89">
        <f t="shared" si="4"/>
        <v>633334477</v>
      </c>
      <c r="I13" s="89">
        <f>J13+N13+O13+P13</f>
        <v>632206864</v>
      </c>
      <c r="J13" s="89">
        <f t="shared" si="5"/>
        <v>153612</v>
      </c>
      <c r="K13" s="101">
        <v>153612</v>
      </c>
      <c r="L13" s="101">
        <v>0</v>
      </c>
      <c r="M13" s="101">
        <v>0</v>
      </c>
      <c r="N13" s="101">
        <v>632053252</v>
      </c>
      <c r="O13" s="101">
        <v>0</v>
      </c>
      <c r="P13" s="101">
        <v>0</v>
      </c>
      <c r="Q13" s="102">
        <f>H13-I13-R13-S13</f>
        <v>1127613</v>
      </c>
      <c r="R13" s="101">
        <v>0</v>
      </c>
      <c r="S13" s="101">
        <v>0</v>
      </c>
      <c r="T13" s="89">
        <f t="shared" si="6"/>
        <v>633180865</v>
      </c>
      <c r="U13" s="91">
        <f t="shared" si="1"/>
        <v>0.00024297743151361926</v>
      </c>
      <c r="V13" s="155">
        <f t="shared" si="7"/>
        <v>633334477</v>
      </c>
      <c r="W13" s="156">
        <f t="shared" si="8"/>
        <v>633334477</v>
      </c>
      <c r="X13" s="156">
        <f t="shared" si="9"/>
        <v>0</v>
      </c>
      <c r="Y13" s="157"/>
    </row>
    <row r="14" spans="1:25" s="30" customFormat="1" ht="21.75" customHeight="1">
      <c r="A14" s="99">
        <v>1.4</v>
      </c>
      <c r="B14" s="44" t="s">
        <v>51</v>
      </c>
      <c r="C14" s="89">
        <f>D14+E14</f>
        <v>396027</v>
      </c>
      <c r="D14" s="89">
        <v>284397</v>
      </c>
      <c r="E14" s="101">
        <v>111630</v>
      </c>
      <c r="F14" s="101">
        <v>0</v>
      </c>
      <c r="G14" s="101">
        <v>0</v>
      </c>
      <c r="H14" s="89">
        <f>C14-G14-F14</f>
        <v>396027</v>
      </c>
      <c r="I14" s="89">
        <f>J14+N14+O14+P14</f>
        <v>178701</v>
      </c>
      <c r="J14" s="89">
        <f>K14+L14+M14</f>
        <v>114590</v>
      </c>
      <c r="K14" s="101">
        <v>114590</v>
      </c>
      <c r="L14" s="101">
        <v>0</v>
      </c>
      <c r="M14" s="101">
        <v>0</v>
      </c>
      <c r="N14" s="101">
        <v>64111</v>
      </c>
      <c r="O14" s="101">
        <v>0</v>
      </c>
      <c r="P14" s="101">
        <v>0</v>
      </c>
      <c r="Q14" s="102">
        <f>H14-I14-R14-S14</f>
        <v>217326</v>
      </c>
      <c r="R14" s="101">
        <v>0</v>
      </c>
      <c r="S14" s="101">
        <v>0</v>
      </c>
      <c r="T14" s="89">
        <f>SUM(N14:S14)</f>
        <v>281437</v>
      </c>
      <c r="U14" s="91">
        <f>IF(I14&lt;&gt;0,J14/I14,"")</f>
        <v>0.6412387171868092</v>
      </c>
      <c r="V14" s="92">
        <f>IF(H14=C14-F14-G14,H14,"KT lai")</f>
        <v>396027</v>
      </c>
      <c r="W14" s="41">
        <f>I14+Q14+R14+S14</f>
        <v>396027</v>
      </c>
      <c r="X14" s="41">
        <f>V14-W14</f>
        <v>0</v>
      </c>
      <c r="Y14" s="93"/>
    </row>
    <row r="15" spans="1:25" s="30" customFormat="1" ht="21.75" customHeight="1">
      <c r="A15" s="99">
        <v>1.5</v>
      </c>
      <c r="B15" s="44" t="s">
        <v>117</v>
      </c>
      <c r="C15" s="89">
        <f t="shared" si="2"/>
        <v>11385675</v>
      </c>
      <c r="D15" s="108">
        <v>11385375</v>
      </c>
      <c r="E15" s="101">
        <v>300</v>
      </c>
      <c r="F15" s="101">
        <v>0</v>
      </c>
      <c r="G15" s="101">
        <v>0</v>
      </c>
      <c r="H15" s="89">
        <f t="shared" si="4"/>
        <v>11385675</v>
      </c>
      <c r="I15" s="89">
        <f>J15+N15+O15+P15</f>
        <v>6192620</v>
      </c>
      <c r="J15" s="89">
        <f t="shared" si="5"/>
        <v>27900</v>
      </c>
      <c r="K15" s="101">
        <v>27900</v>
      </c>
      <c r="L15" s="101">
        <v>0</v>
      </c>
      <c r="M15" s="101">
        <v>0</v>
      </c>
      <c r="N15" s="101">
        <v>6164720</v>
      </c>
      <c r="O15" s="101">
        <v>0</v>
      </c>
      <c r="P15" s="101">
        <v>0</v>
      </c>
      <c r="Q15" s="102">
        <f>H15-I15-R15-S15</f>
        <v>5193055</v>
      </c>
      <c r="R15" s="101">
        <v>0</v>
      </c>
      <c r="S15" s="101">
        <v>0</v>
      </c>
      <c r="T15" s="89">
        <f t="shared" si="6"/>
        <v>11357775</v>
      </c>
      <c r="U15" s="91">
        <f>IF(I15&lt;&gt;0,J15/I15,"")</f>
        <v>0.004505362835116639</v>
      </c>
      <c r="V15" s="92">
        <f t="shared" si="7"/>
        <v>11385675</v>
      </c>
      <c r="W15" s="41">
        <f t="shared" si="8"/>
        <v>11385675</v>
      </c>
      <c r="X15" s="41">
        <f t="shared" si="9"/>
        <v>0</v>
      </c>
      <c r="Y15" s="28"/>
    </row>
    <row r="16" spans="1:25" s="42" customFormat="1" ht="33" customHeight="1">
      <c r="A16" s="94" t="s">
        <v>52</v>
      </c>
      <c r="B16" s="95" t="s">
        <v>53</v>
      </c>
      <c r="C16" s="96">
        <f t="shared" si="2"/>
        <v>479951450</v>
      </c>
      <c r="D16" s="97">
        <f>D17+D22+D27+D33+D39+D44</f>
        <v>303257273</v>
      </c>
      <c r="E16" s="107">
        <f>SUM(E17,E22,E27,E33,E39,E44)</f>
        <v>176694177</v>
      </c>
      <c r="F16" s="107">
        <f>SUM(F17,F22,F27,F33,F39,F44)</f>
        <v>162882834</v>
      </c>
      <c r="G16" s="107">
        <f>SUM(G17,G22,G27,G33,G39,G44)</f>
        <v>0</v>
      </c>
      <c r="H16" s="97">
        <f>H17+H22+H27+H33+H39+H44</f>
        <v>317068616</v>
      </c>
      <c r="I16" s="97">
        <f>I17+I22+I27+I33+I39+I44</f>
        <v>250035840</v>
      </c>
      <c r="J16" s="97">
        <f>J17+J22+J27+J33+J39+J44</f>
        <v>6463178</v>
      </c>
      <c r="K16" s="107">
        <v>6431520</v>
      </c>
      <c r="L16" s="107">
        <v>31658</v>
      </c>
      <c r="M16" s="107">
        <v>0</v>
      </c>
      <c r="N16" s="107">
        <v>243360976</v>
      </c>
      <c r="O16" s="107">
        <v>0</v>
      </c>
      <c r="P16" s="107">
        <f>SUM(P17,P22,P27,P33,P39,P44)</f>
        <v>211686</v>
      </c>
      <c r="Q16" s="97">
        <f>Q17+Q22+Q27+Q33+Q39+Q44</f>
        <v>66826988</v>
      </c>
      <c r="R16" s="97">
        <f>R17+R22+R27+R33+R39+R44</f>
        <v>0</v>
      </c>
      <c r="S16" s="107">
        <f>SUM(S17,S22,S27,S33,S39,S44)</f>
        <v>205788</v>
      </c>
      <c r="T16" s="97">
        <f>T17+T22+T27+T33+T39+T44</f>
        <v>310605438</v>
      </c>
      <c r="U16" s="98">
        <f t="shared" si="1"/>
        <v>0.025849006286458774</v>
      </c>
      <c r="V16" s="92">
        <f t="shared" si="7"/>
        <v>317068616</v>
      </c>
      <c r="W16" s="41">
        <f t="shared" si="8"/>
        <v>317068616</v>
      </c>
      <c r="X16" s="41">
        <f t="shared" si="9"/>
        <v>0</v>
      </c>
      <c r="Y16" s="40"/>
    </row>
    <row r="17" spans="1:25" s="42" customFormat="1" ht="23.25" customHeight="1">
      <c r="A17" s="103">
        <v>1</v>
      </c>
      <c r="B17" s="95" t="s">
        <v>54</v>
      </c>
      <c r="C17" s="96">
        <f t="shared" si="2"/>
        <v>169924442</v>
      </c>
      <c r="D17" s="97">
        <f aca="true" t="shared" si="10" ref="D17:J17">SUM(D18:D21)</f>
        <v>6785687</v>
      </c>
      <c r="E17" s="107">
        <f t="shared" si="10"/>
        <v>163138755</v>
      </c>
      <c r="F17" s="107">
        <f t="shared" si="10"/>
        <v>51000</v>
      </c>
      <c r="G17" s="107">
        <f t="shared" si="10"/>
        <v>0</v>
      </c>
      <c r="H17" s="97">
        <f t="shared" si="10"/>
        <v>169873442</v>
      </c>
      <c r="I17" s="97">
        <f t="shared" si="10"/>
        <v>166949303</v>
      </c>
      <c r="J17" s="97">
        <f t="shared" si="10"/>
        <v>284943</v>
      </c>
      <c r="K17" s="107">
        <v>280655</v>
      </c>
      <c r="L17" s="107">
        <v>4288</v>
      </c>
      <c r="M17" s="107">
        <v>0</v>
      </c>
      <c r="N17" s="107">
        <v>166455160</v>
      </c>
      <c r="O17" s="107">
        <v>0</v>
      </c>
      <c r="P17" s="107">
        <f>SUM(P18:P21)</f>
        <v>209200</v>
      </c>
      <c r="Q17" s="97">
        <f>SUM(Q18:Q21)</f>
        <v>2821574</v>
      </c>
      <c r="R17" s="97">
        <f>SUM(R18:R21)</f>
        <v>0</v>
      </c>
      <c r="S17" s="107">
        <f>SUM(S18:S21)</f>
        <v>102565</v>
      </c>
      <c r="T17" s="97">
        <f>SUM(T18:T21)</f>
        <v>169588499</v>
      </c>
      <c r="U17" s="98">
        <f t="shared" si="1"/>
        <v>0.001706763639498393</v>
      </c>
      <c r="V17" s="92">
        <f t="shared" si="7"/>
        <v>169873442</v>
      </c>
      <c r="W17" s="41">
        <f t="shared" si="8"/>
        <v>169873442</v>
      </c>
      <c r="X17" s="41">
        <f t="shared" si="9"/>
        <v>0</v>
      </c>
      <c r="Y17" s="40"/>
    </row>
    <row r="18" spans="1:25" s="30" customFormat="1" ht="24.75" customHeight="1">
      <c r="A18" s="99">
        <v>1.1</v>
      </c>
      <c r="B18" s="100" t="s">
        <v>55</v>
      </c>
      <c r="C18" s="89">
        <f t="shared" si="2"/>
        <v>164608270</v>
      </c>
      <c r="D18" s="110">
        <v>1657944</v>
      </c>
      <c r="E18" s="101">
        <v>162950326</v>
      </c>
      <c r="F18" s="101">
        <v>0</v>
      </c>
      <c r="G18" s="101">
        <v>0</v>
      </c>
      <c r="H18" s="89">
        <f t="shared" si="4"/>
        <v>164608270</v>
      </c>
      <c r="I18" s="89">
        <f>J18+N18+O18+P18</f>
        <v>164243160</v>
      </c>
      <c r="J18" s="89">
        <f t="shared" si="5"/>
        <v>129746</v>
      </c>
      <c r="K18" s="101">
        <v>125458</v>
      </c>
      <c r="L18" s="101">
        <v>4288</v>
      </c>
      <c r="M18" s="101">
        <v>0</v>
      </c>
      <c r="N18" s="101">
        <v>164108524</v>
      </c>
      <c r="O18" s="101">
        <v>0</v>
      </c>
      <c r="P18" s="101">
        <v>4890</v>
      </c>
      <c r="Q18" s="104">
        <f>H18-I18-R18-S18</f>
        <v>365110</v>
      </c>
      <c r="R18" s="101">
        <v>0</v>
      </c>
      <c r="S18" s="101">
        <v>0</v>
      </c>
      <c r="T18" s="89">
        <f t="shared" si="6"/>
        <v>164478524</v>
      </c>
      <c r="U18" s="91">
        <f t="shared" si="1"/>
        <v>0.0007899628818636953</v>
      </c>
      <c r="V18" s="92">
        <f t="shared" si="7"/>
        <v>164608270</v>
      </c>
      <c r="W18" s="41">
        <f t="shared" si="8"/>
        <v>164608270</v>
      </c>
      <c r="X18" s="41">
        <f t="shared" si="9"/>
        <v>0</v>
      </c>
      <c r="Y18" s="28"/>
    </row>
    <row r="19" spans="1:25" s="30" customFormat="1" ht="24.75" customHeight="1">
      <c r="A19" s="99">
        <v>1.2</v>
      </c>
      <c r="B19" s="100" t="s">
        <v>56</v>
      </c>
      <c r="C19" s="89">
        <f t="shared" si="2"/>
        <v>3206612</v>
      </c>
      <c r="D19" s="110">
        <v>3060043</v>
      </c>
      <c r="E19" s="101">
        <v>146569</v>
      </c>
      <c r="F19" s="101">
        <v>0</v>
      </c>
      <c r="G19" s="101">
        <v>0</v>
      </c>
      <c r="H19" s="89">
        <f t="shared" si="4"/>
        <v>3206612</v>
      </c>
      <c r="I19" s="89">
        <f aca="true" t="shared" si="11" ref="I19:I48">J19+N19+O19+P19</f>
        <v>1596196</v>
      </c>
      <c r="J19" s="89">
        <f t="shared" si="5"/>
        <v>106587</v>
      </c>
      <c r="K19" s="101">
        <v>106587</v>
      </c>
      <c r="L19" s="101">
        <v>0</v>
      </c>
      <c r="M19" s="101">
        <v>0</v>
      </c>
      <c r="N19" s="101">
        <v>1470548</v>
      </c>
      <c r="O19" s="101">
        <v>0</v>
      </c>
      <c r="P19" s="101">
        <v>19061</v>
      </c>
      <c r="Q19" s="104">
        <f>H19-I19-R19-S19</f>
        <v>1507851</v>
      </c>
      <c r="R19" s="101">
        <v>0</v>
      </c>
      <c r="S19" s="101">
        <v>102565</v>
      </c>
      <c r="T19" s="89">
        <f t="shared" si="6"/>
        <v>3100025</v>
      </c>
      <c r="U19" s="91">
        <f t="shared" si="1"/>
        <v>0.06677563407000142</v>
      </c>
      <c r="V19" s="92">
        <f t="shared" si="7"/>
        <v>3206612</v>
      </c>
      <c r="W19" s="41">
        <f t="shared" si="8"/>
        <v>3206612</v>
      </c>
      <c r="X19" s="41">
        <f t="shared" si="9"/>
        <v>0</v>
      </c>
      <c r="Y19" s="28"/>
    </row>
    <row r="20" spans="1:25" s="30" customFormat="1" ht="24.75" customHeight="1">
      <c r="A20" s="99">
        <v>1.3</v>
      </c>
      <c r="B20" s="100" t="s">
        <v>57</v>
      </c>
      <c r="C20" s="89">
        <f t="shared" si="2"/>
        <v>1963031</v>
      </c>
      <c r="D20" s="110">
        <v>1946231</v>
      </c>
      <c r="E20" s="101">
        <v>16800</v>
      </c>
      <c r="F20" s="101">
        <v>51000</v>
      </c>
      <c r="G20" s="101">
        <v>0</v>
      </c>
      <c r="H20" s="89">
        <f t="shared" si="4"/>
        <v>1912031</v>
      </c>
      <c r="I20" s="89">
        <f t="shared" si="11"/>
        <v>1014229</v>
      </c>
      <c r="J20" s="89">
        <f t="shared" si="5"/>
        <v>24000</v>
      </c>
      <c r="K20" s="101">
        <v>24000</v>
      </c>
      <c r="L20" s="101">
        <v>0</v>
      </c>
      <c r="M20" s="101">
        <v>0</v>
      </c>
      <c r="N20" s="101">
        <v>804980</v>
      </c>
      <c r="O20" s="101">
        <v>0</v>
      </c>
      <c r="P20" s="101">
        <v>185249</v>
      </c>
      <c r="Q20" s="104">
        <f>H20-I20-R20-S20</f>
        <v>897802</v>
      </c>
      <c r="R20" s="101">
        <v>0</v>
      </c>
      <c r="S20" s="101">
        <v>0</v>
      </c>
      <c r="T20" s="89">
        <f t="shared" si="6"/>
        <v>1888031</v>
      </c>
      <c r="U20" s="91">
        <f t="shared" si="1"/>
        <v>0.023663294975789492</v>
      </c>
      <c r="V20" s="92">
        <f t="shared" si="7"/>
        <v>1912031</v>
      </c>
      <c r="W20" s="41">
        <f t="shared" si="8"/>
        <v>1912031</v>
      </c>
      <c r="X20" s="41">
        <f t="shared" si="9"/>
        <v>0</v>
      </c>
      <c r="Y20" s="28"/>
    </row>
    <row r="21" spans="1:25" s="30" customFormat="1" ht="24.75" customHeight="1">
      <c r="A21" s="99">
        <v>1.4</v>
      </c>
      <c r="B21" s="100" t="s">
        <v>58</v>
      </c>
      <c r="C21" s="89">
        <f t="shared" si="2"/>
        <v>146529</v>
      </c>
      <c r="D21" s="111">
        <v>121469</v>
      </c>
      <c r="E21" s="101">
        <v>25060</v>
      </c>
      <c r="F21" s="101">
        <v>0</v>
      </c>
      <c r="G21" s="101">
        <v>0</v>
      </c>
      <c r="H21" s="89">
        <f t="shared" si="4"/>
        <v>146529</v>
      </c>
      <c r="I21" s="89">
        <f t="shared" si="11"/>
        <v>95718</v>
      </c>
      <c r="J21" s="89">
        <f t="shared" si="5"/>
        <v>24610</v>
      </c>
      <c r="K21" s="101">
        <v>24610</v>
      </c>
      <c r="L21" s="101">
        <v>0</v>
      </c>
      <c r="M21" s="101">
        <v>0</v>
      </c>
      <c r="N21" s="101">
        <v>71108</v>
      </c>
      <c r="O21" s="101">
        <v>0</v>
      </c>
      <c r="P21" s="101">
        <v>0</v>
      </c>
      <c r="Q21" s="104">
        <f>H21-I21-R21-S21</f>
        <v>50811</v>
      </c>
      <c r="R21" s="101">
        <v>0</v>
      </c>
      <c r="S21" s="101">
        <v>0</v>
      </c>
      <c r="T21" s="89">
        <f t="shared" si="6"/>
        <v>121919</v>
      </c>
      <c r="U21" s="91">
        <f t="shared" si="1"/>
        <v>0.25710942560437955</v>
      </c>
      <c r="V21" s="92">
        <f t="shared" si="7"/>
        <v>146529</v>
      </c>
      <c r="W21" s="41">
        <f t="shared" si="8"/>
        <v>146529</v>
      </c>
      <c r="X21" s="41">
        <f t="shared" si="9"/>
        <v>0</v>
      </c>
      <c r="Y21" s="28"/>
    </row>
    <row r="22" spans="1:25" s="42" customFormat="1" ht="23.25" customHeight="1">
      <c r="A22" s="103">
        <v>2</v>
      </c>
      <c r="B22" s="95" t="s">
        <v>59</v>
      </c>
      <c r="C22" s="96">
        <f t="shared" si="2"/>
        <v>168269425</v>
      </c>
      <c r="D22" s="97">
        <f>SUM(D23:D26)</f>
        <v>165290112</v>
      </c>
      <c r="E22" s="107">
        <f>SUM(E23:E26)</f>
        <v>2979313</v>
      </c>
      <c r="F22" s="107">
        <f>SUM(F23:F26)</f>
        <v>162798434</v>
      </c>
      <c r="G22" s="107">
        <f>SUM(G23:G26)</f>
        <v>0</v>
      </c>
      <c r="H22" s="97">
        <f aca="true" t="shared" si="12" ref="H22:T22">SUM(H23:H26)</f>
        <v>5470991</v>
      </c>
      <c r="I22" s="97">
        <f t="shared" si="12"/>
        <v>3880748</v>
      </c>
      <c r="J22" s="97">
        <f t="shared" si="12"/>
        <v>120043</v>
      </c>
      <c r="K22" s="107">
        <v>120043</v>
      </c>
      <c r="L22" s="107">
        <v>0</v>
      </c>
      <c r="M22" s="107">
        <v>0</v>
      </c>
      <c r="N22" s="107">
        <v>3760705</v>
      </c>
      <c r="O22" s="107">
        <v>0</v>
      </c>
      <c r="P22" s="107">
        <f>SUM(P23:P26)</f>
        <v>0</v>
      </c>
      <c r="Q22" s="97">
        <f t="shared" si="12"/>
        <v>1590243</v>
      </c>
      <c r="R22" s="97">
        <f t="shared" si="12"/>
        <v>0</v>
      </c>
      <c r="S22" s="107">
        <f>SUM(S23:S26)</f>
        <v>0</v>
      </c>
      <c r="T22" s="97">
        <f t="shared" si="12"/>
        <v>5350948</v>
      </c>
      <c r="U22" s="98">
        <f t="shared" si="1"/>
        <v>0.030932954162444973</v>
      </c>
      <c r="V22" s="92">
        <f t="shared" si="7"/>
        <v>5470991</v>
      </c>
      <c r="W22" s="41">
        <f t="shared" si="8"/>
        <v>5470991</v>
      </c>
      <c r="X22" s="41">
        <f t="shared" si="9"/>
        <v>0</v>
      </c>
      <c r="Y22" s="40"/>
    </row>
    <row r="23" spans="1:25" s="30" customFormat="1" ht="24.75" customHeight="1">
      <c r="A23" s="99">
        <v>2.1</v>
      </c>
      <c r="B23" s="100" t="s">
        <v>60</v>
      </c>
      <c r="C23" s="89">
        <f t="shared" si="2"/>
        <v>163331045</v>
      </c>
      <c r="D23" s="159">
        <v>163322135</v>
      </c>
      <c r="E23" s="101">
        <v>8910</v>
      </c>
      <c r="F23" s="101">
        <v>162798434</v>
      </c>
      <c r="G23" s="101">
        <v>0</v>
      </c>
      <c r="H23" s="89">
        <f t="shared" si="4"/>
        <v>532611</v>
      </c>
      <c r="I23" s="89">
        <f t="shared" si="11"/>
        <v>495112</v>
      </c>
      <c r="J23" s="89">
        <f t="shared" si="5"/>
        <v>36693</v>
      </c>
      <c r="K23" s="101">
        <v>36693</v>
      </c>
      <c r="L23" s="101">
        <v>0</v>
      </c>
      <c r="M23" s="101">
        <v>0</v>
      </c>
      <c r="N23" s="101">
        <v>458419</v>
      </c>
      <c r="O23" s="101">
        <v>0</v>
      </c>
      <c r="P23" s="101">
        <v>0</v>
      </c>
      <c r="Q23" s="104">
        <f>H23-I23-R23-S23</f>
        <v>37499</v>
      </c>
      <c r="R23" s="101">
        <v>0</v>
      </c>
      <c r="S23" s="101">
        <v>0</v>
      </c>
      <c r="T23" s="89">
        <f t="shared" si="6"/>
        <v>495918</v>
      </c>
      <c r="U23" s="91">
        <f t="shared" si="1"/>
        <v>0.07411050428993844</v>
      </c>
      <c r="V23" s="92">
        <f t="shared" si="7"/>
        <v>532611</v>
      </c>
      <c r="W23" s="41">
        <f t="shared" si="8"/>
        <v>532611</v>
      </c>
      <c r="X23" s="41">
        <f t="shared" si="9"/>
        <v>0</v>
      </c>
      <c r="Y23" s="28"/>
    </row>
    <row r="24" spans="1:25" s="30" customFormat="1" ht="24.75" customHeight="1">
      <c r="A24" s="99">
        <v>2.2</v>
      </c>
      <c r="B24" s="100" t="s">
        <v>61</v>
      </c>
      <c r="C24" s="89">
        <f t="shared" si="2"/>
        <v>428568</v>
      </c>
      <c r="D24" s="159">
        <v>400130</v>
      </c>
      <c r="E24" s="101">
        <v>28438</v>
      </c>
      <c r="F24" s="101">
        <v>0</v>
      </c>
      <c r="G24" s="101">
        <v>0</v>
      </c>
      <c r="H24" s="89">
        <f t="shared" si="4"/>
        <v>428568</v>
      </c>
      <c r="I24" s="89">
        <f t="shared" si="11"/>
        <v>150643</v>
      </c>
      <c r="J24" s="89">
        <f t="shared" si="5"/>
        <v>40120</v>
      </c>
      <c r="K24" s="101">
        <v>40120</v>
      </c>
      <c r="L24" s="101">
        <v>0</v>
      </c>
      <c r="M24" s="101">
        <v>0</v>
      </c>
      <c r="N24" s="101">
        <v>110523</v>
      </c>
      <c r="O24" s="101">
        <v>0</v>
      </c>
      <c r="P24" s="101">
        <v>0</v>
      </c>
      <c r="Q24" s="104">
        <f>H24-I24-R24-S24</f>
        <v>277925</v>
      </c>
      <c r="R24" s="101">
        <v>0</v>
      </c>
      <c r="S24" s="101">
        <v>0</v>
      </c>
      <c r="T24" s="89">
        <f t="shared" si="6"/>
        <v>388448</v>
      </c>
      <c r="U24" s="91">
        <f t="shared" si="1"/>
        <v>0.2663250200805879</v>
      </c>
      <c r="V24" s="92">
        <f t="shared" si="7"/>
        <v>428568</v>
      </c>
      <c r="W24" s="41">
        <f t="shared" si="8"/>
        <v>428568</v>
      </c>
      <c r="X24" s="41">
        <f t="shared" si="9"/>
        <v>0</v>
      </c>
      <c r="Y24" s="28"/>
    </row>
    <row r="25" spans="1:25" s="30" customFormat="1" ht="24.75" customHeight="1">
      <c r="A25" s="99">
        <v>2.3</v>
      </c>
      <c r="B25" s="100" t="s">
        <v>62</v>
      </c>
      <c r="C25" s="89">
        <f t="shared" si="2"/>
        <v>4507412</v>
      </c>
      <c r="D25" s="159">
        <v>1567847</v>
      </c>
      <c r="E25" s="101">
        <v>2939565</v>
      </c>
      <c r="F25" s="101">
        <v>0</v>
      </c>
      <c r="G25" s="101">
        <v>0</v>
      </c>
      <c r="H25" s="89">
        <f t="shared" si="4"/>
        <v>4507412</v>
      </c>
      <c r="I25" s="89">
        <f t="shared" si="11"/>
        <v>3232593</v>
      </c>
      <c r="J25" s="89">
        <f t="shared" si="5"/>
        <v>40830</v>
      </c>
      <c r="K25" s="101">
        <v>40830</v>
      </c>
      <c r="L25" s="101">
        <v>0</v>
      </c>
      <c r="M25" s="101">
        <v>0</v>
      </c>
      <c r="N25" s="101">
        <v>3191763</v>
      </c>
      <c r="O25" s="101">
        <v>0</v>
      </c>
      <c r="P25" s="101">
        <v>0</v>
      </c>
      <c r="Q25" s="104">
        <f>H25-I25-R25-S25</f>
        <v>1274819</v>
      </c>
      <c r="R25" s="101">
        <v>0</v>
      </c>
      <c r="S25" s="101">
        <v>0</v>
      </c>
      <c r="T25" s="89">
        <f t="shared" si="6"/>
        <v>4466582</v>
      </c>
      <c r="U25" s="91">
        <f t="shared" si="1"/>
        <v>0.012630727097410654</v>
      </c>
      <c r="V25" s="92">
        <f t="shared" si="7"/>
        <v>4507412</v>
      </c>
      <c r="W25" s="41">
        <f t="shared" si="8"/>
        <v>4507412</v>
      </c>
      <c r="X25" s="41">
        <f t="shared" si="9"/>
        <v>0</v>
      </c>
      <c r="Y25" s="28"/>
    </row>
    <row r="26" spans="1:25" s="30" customFormat="1" ht="24.75" customHeight="1">
      <c r="A26" s="99">
        <v>2.4</v>
      </c>
      <c r="B26" s="100" t="s">
        <v>63</v>
      </c>
      <c r="C26" s="89">
        <f t="shared" si="2"/>
        <v>2400</v>
      </c>
      <c r="D26" s="159">
        <v>0</v>
      </c>
      <c r="E26" s="101">
        <v>2400</v>
      </c>
      <c r="F26" s="101">
        <v>0</v>
      </c>
      <c r="G26" s="101">
        <v>0</v>
      </c>
      <c r="H26" s="89">
        <f t="shared" si="4"/>
        <v>2400</v>
      </c>
      <c r="I26" s="89">
        <f t="shared" si="11"/>
        <v>2400</v>
      </c>
      <c r="J26" s="89">
        <f t="shared" si="5"/>
        <v>2400</v>
      </c>
      <c r="K26" s="101">
        <v>2400</v>
      </c>
      <c r="L26" s="101">
        <v>0</v>
      </c>
      <c r="M26" s="101">
        <v>0</v>
      </c>
      <c r="N26" s="101">
        <v>0</v>
      </c>
      <c r="O26" s="101">
        <v>0</v>
      </c>
      <c r="P26" s="101">
        <v>0</v>
      </c>
      <c r="Q26" s="104">
        <f>H26-I26-R26-S26</f>
        <v>0</v>
      </c>
      <c r="R26" s="101">
        <v>0</v>
      </c>
      <c r="S26" s="101">
        <v>0</v>
      </c>
      <c r="T26" s="89">
        <f t="shared" si="6"/>
        <v>0</v>
      </c>
      <c r="U26" s="91">
        <f t="shared" si="1"/>
        <v>1</v>
      </c>
      <c r="V26" s="92">
        <f t="shared" si="7"/>
        <v>2400</v>
      </c>
      <c r="W26" s="41">
        <f t="shared" si="8"/>
        <v>2400</v>
      </c>
      <c r="X26" s="41">
        <f t="shared" si="9"/>
        <v>0</v>
      </c>
      <c r="Y26" s="28"/>
    </row>
    <row r="27" spans="1:25" s="42" customFormat="1" ht="28.5" customHeight="1">
      <c r="A27" s="103">
        <v>3</v>
      </c>
      <c r="B27" s="95" t="s">
        <v>64</v>
      </c>
      <c r="C27" s="96">
        <f t="shared" si="2"/>
        <v>16585420</v>
      </c>
      <c r="D27" s="97">
        <f aca="true" t="shared" si="13" ref="D27:J27">SUM(D28:D32)</f>
        <v>14957759</v>
      </c>
      <c r="E27" s="107">
        <f t="shared" si="13"/>
        <v>1627661</v>
      </c>
      <c r="F27" s="107">
        <f t="shared" si="13"/>
        <v>0</v>
      </c>
      <c r="G27" s="107">
        <f t="shared" si="13"/>
        <v>0</v>
      </c>
      <c r="H27" s="97">
        <f t="shared" si="13"/>
        <v>16585420</v>
      </c>
      <c r="I27" s="97">
        <f t="shared" si="13"/>
        <v>13324964</v>
      </c>
      <c r="J27" s="97">
        <f t="shared" si="13"/>
        <v>32923</v>
      </c>
      <c r="K27" s="107">
        <v>32923</v>
      </c>
      <c r="L27" s="107">
        <v>0</v>
      </c>
      <c r="M27" s="107">
        <v>0</v>
      </c>
      <c r="N27" s="107">
        <v>13292041</v>
      </c>
      <c r="O27" s="107">
        <v>0</v>
      </c>
      <c r="P27" s="107">
        <f>SUM(P28:P32)</f>
        <v>0</v>
      </c>
      <c r="Q27" s="97">
        <f>SUM(Q28:Q32)</f>
        <v>3157233</v>
      </c>
      <c r="R27" s="97">
        <f>SUM(R28:R32)</f>
        <v>0</v>
      </c>
      <c r="S27" s="107">
        <f>SUM(S28:S32)</f>
        <v>103223</v>
      </c>
      <c r="T27" s="97">
        <f>SUM(T28:T32)</f>
        <v>16552497</v>
      </c>
      <c r="U27" s="98">
        <f t="shared" si="1"/>
        <v>0.002470775906036219</v>
      </c>
      <c r="V27" s="92">
        <f t="shared" si="7"/>
        <v>16585420</v>
      </c>
      <c r="W27" s="41">
        <f t="shared" si="8"/>
        <v>16585420</v>
      </c>
      <c r="X27" s="41">
        <f t="shared" si="9"/>
        <v>0</v>
      </c>
      <c r="Y27" s="40"/>
    </row>
    <row r="28" spans="1:25" s="30" customFormat="1" ht="20.25" customHeight="1">
      <c r="A28" s="99">
        <v>3.1</v>
      </c>
      <c r="B28" s="100" t="s">
        <v>65</v>
      </c>
      <c r="C28" s="89">
        <f t="shared" si="2"/>
        <v>1029569</v>
      </c>
      <c r="D28" s="161">
        <v>1020162</v>
      </c>
      <c r="E28" s="101">
        <v>9407</v>
      </c>
      <c r="F28" s="101">
        <v>0</v>
      </c>
      <c r="G28" s="101">
        <v>0</v>
      </c>
      <c r="H28" s="89">
        <f t="shared" si="4"/>
        <v>1029569</v>
      </c>
      <c r="I28" s="89">
        <f t="shared" si="11"/>
        <v>554839</v>
      </c>
      <c r="J28" s="89">
        <f t="shared" si="5"/>
        <v>300</v>
      </c>
      <c r="K28" s="101">
        <v>300</v>
      </c>
      <c r="L28" s="101">
        <v>0</v>
      </c>
      <c r="M28" s="101">
        <v>0</v>
      </c>
      <c r="N28" s="101">
        <v>554539</v>
      </c>
      <c r="O28" s="101">
        <v>0</v>
      </c>
      <c r="P28" s="101">
        <v>0</v>
      </c>
      <c r="Q28" s="104">
        <f>H28-I28-R28-S28</f>
        <v>474730</v>
      </c>
      <c r="R28" s="101">
        <v>0</v>
      </c>
      <c r="S28" s="101">
        <v>0</v>
      </c>
      <c r="T28" s="89">
        <f t="shared" si="6"/>
        <v>1029269</v>
      </c>
      <c r="U28" s="91">
        <f t="shared" si="1"/>
        <v>0.000540697391495551</v>
      </c>
      <c r="V28" s="92">
        <f t="shared" si="7"/>
        <v>1029569</v>
      </c>
      <c r="W28" s="41">
        <f t="shared" si="8"/>
        <v>1029569</v>
      </c>
      <c r="X28" s="41">
        <f t="shared" si="9"/>
        <v>0</v>
      </c>
      <c r="Y28" s="28"/>
    </row>
    <row r="29" spans="1:25" s="30" customFormat="1" ht="20.25" customHeight="1">
      <c r="A29" s="99">
        <v>3.2</v>
      </c>
      <c r="B29" s="100" t="s">
        <v>66</v>
      </c>
      <c r="C29" s="89">
        <f t="shared" si="2"/>
        <v>3935091</v>
      </c>
      <c r="D29" s="161">
        <v>3919221</v>
      </c>
      <c r="E29" s="101">
        <v>15870</v>
      </c>
      <c r="F29" s="101">
        <v>0</v>
      </c>
      <c r="G29" s="101">
        <v>0</v>
      </c>
      <c r="H29" s="89">
        <f t="shared" si="4"/>
        <v>3935091</v>
      </c>
      <c r="I29" s="89">
        <f t="shared" si="11"/>
        <v>3594277</v>
      </c>
      <c r="J29" s="89">
        <f t="shared" si="5"/>
        <v>5450</v>
      </c>
      <c r="K29" s="101">
        <v>5450</v>
      </c>
      <c r="L29" s="101">
        <v>0</v>
      </c>
      <c r="M29" s="101">
        <v>0</v>
      </c>
      <c r="N29" s="101">
        <v>3588827</v>
      </c>
      <c r="O29" s="101">
        <v>0</v>
      </c>
      <c r="P29" s="101">
        <v>0</v>
      </c>
      <c r="Q29" s="104">
        <f>H29-I29-R29-S29</f>
        <v>237591</v>
      </c>
      <c r="R29" s="101">
        <v>0</v>
      </c>
      <c r="S29" s="101">
        <v>103223</v>
      </c>
      <c r="T29" s="89">
        <f t="shared" si="6"/>
        <v>3929641</v>
      </c>
      <c r="U29" s="91">
        <f t="shared" si="1"/>
        <v>0.0015162993837147221</v>
      </c>
      <c r="V29" s="92">
        <f t="shared" si="7"/>
        <v>3935091</v>
      </c>
      <c r="W29" s="41">
        <f t="shared" si="8"/>
        <v>3935091</v>
      </c>
      <c r="X29" s="41">
        <f t="shared" si="9"/>
        <v>0</v>
      </c>
      <c r="Y29" s="28"/>
    </row>
    <row r="30" spans="1:25" s="30" customFormat="1" ht="20.25" customHeight="1">
      <c r="A30" s="99">
        <v>3.3</v>
      </c>
      <c r="B30" s="100" t="s">
        <v>67</v>
      </c>
      <c r="C30" s="89">
        <f t="shared" si="2"/>
        <v>10078757</v>
      </c>
      <c r="D30" s="161">
        <v>9982912</v>
      </c>
      <c r="E30" s="101">
        <v>95845</v>
      </c>
      <c r="F30" s="101">
        <v>0</v>
      </c>
      <c r="G30" s="101">
        <v>0</v>
      </c>
      <c r="H30" s="89">
        <f t="shared" si="4"/>
        <v>10078757</v>
      </c>
      <c r="I30" s="89">
        <f t="shared" si="11"/>
        <v>7661745</v>
      </c>
      <c r="J30" s="89">
        <f t="shared" si="5"/>
        <v>26873</v>
      </c>
      <c r="K30" s="101">
        <v>26873</v>
      </c>
      <c r="L30" s="101">
        <v>0</v>
      </c>
      <c r="M30" s="101">
        <v>0</v>
      </c>
      <c r="N30" s="101">
        <v>7634872</v>
      </c>
      <c r="O30" s="101">
        <v>0</v>
      </c>
      <c r="P30" s="101">
        <v>0</v>
      </c>
      <c r="Q30" s="104">
        <f>H30-I30-R30-S30</f>
        <v>2417012</v>
      </c>
      <c r="R30" s="101">
        <v>0</v>
      </c>
      <c r="S30" s="101">
        <v>0</v>
      </c>
      <c r="T30" s="89">
        <f t="shared" si="6"/>
        <v>10051884</v>
      </c>
      <c r="U30" s="91">
        <f t="shared" si="1"/>
        <v>0.0035074255277355226</v>
      </c>
      <c r="V30" s="92">
        <f t="shared" si="7"/>
        <v>10078757</v>
      </c>
      <c r="W30" s="41">
        <f t="shared" si="8"/>
        <v>10078757</v>
      </c>
      <c r="X30" s="41">
        <f t="shared" si="9"/>
        <v>0</v>
      </c>
      <c r="Y30" s="28"/>
    </row>
    <row r="31" spans="1:25" s="30" customFormat="1" ht="20.25" customHeight="1">
      <c r="A31" s="99">
        <v>3.4</v>
      </c>
      <c r="B31" s="100" t="s">
        <v>68</v>
      </c>
      <c r="C31" s="89">
        <f t="shared" si="2"/>
        <v>35464</v>
      </c>
      <c r="D31" s="161">
        <v>35464</v>
      </c>
      <c r="E31" s="101">
        <v>0</v>
      </c>
      <c r="F31" s="101">
        <v>0</v>
      </c>
      <c r="G31" s="101">
        <v>0</v>
      </c>
      <c r="H31" s="89">
        <f t="shared" si="4"/>
        <v>35464</v>
      </c>
      <c r="I31" s="89">
        <f t="shared" si="11"/>
        <v>7564</v>
      </c>
      <c r="J31" s="89">
        <f t="shared" si="5"/>
        <v>0</v>
      </c>
      <c r="K31" s="101">
        <v>0</v>
      </c>
      <c r="L31" s="101">
        <v>0</v>
      </c>
      <c r="M31" s="101">
        <v>0</v>
      </c>
      <c r="N31" s="101">
        <v>7564</v>
      </c>
      <c r="O31" s="101">
        <v>0</v>
      </c>
      <c r="P31" s="101">
        <v>0</v>
      </c>
      <c r="Q31" s="104">
        <f>H31-I31-R31-S31</f>
        <v>27900</v>
      </c>
      <c r="R31" s="101"/>
      <c r="S31" s="101">
        <v>0</v>
      </c>
      <c r="T31" s="89">
        <f t="shared" si="6"/>
        <v>35464</v>
      </c>
      <c r="U31" s="91">
        <f t="shared" si="1"/>
        <v>0</v>
      </c>
      <c r="V31" s="92"/>
      <c r="W31" s="41"/>
      <c r="X31" s="41"/>
      <c r="Y31" s="28"/>
    </row>
    <row r="32" spans="1:25" s="30" customFormat="1" ht="20.25" customHeight="1">
      <c r="A32" s="99">
        <v>3.5</v>
      </c>
      <c r="B32" s="100" t="s">
        <v>118</v>
      </c>
      <c r="C32" s="89">
        <f t="shared" si="2"/>
        <v>1506539</v>
      </c>
      <c r="D32" s="161"/>
      <c r="E32" s="101">
        <v>1506539</v>
      </c>
      <c r="F32" s="101">
        <v>0</v>
      </c>
      <c r="G32" s="101">
        <v>0</v>
      </c>
      <c r="H32" s="89">
        <f t="shared" si="4"/>
        <v>1506539</v>
      </c>
      <c r="I32" s="89">
        <f t="shared" si="11"/>
        <v>1506539</v>
      </c>
      <c r="J32" s="89">
        <f t="shared" si="5"/>
        <v>300</v>
      </c>
      <c r="K32" s="101">
        <v>300</v>
      </c>
      <c r="L32" s="101">
        <v>0</v>
      </c>
      <c r="M32" s="101">
        <v>0</v>
      </c>
      <c r="N32" s="101">
        <v>1506239</v>
      </c>
      <c r="O32" s="101">
        <v>0</v>
      </c>
      <c r="P32" s="101">
        <v>0</v>
      </c>
      <c r="Q32" s="104">
        <f>H32-I32-R32-S32</f>
        <v>0</v>
      </c>
      <c r="R32" s="101">
        <v>0</v>
      </c>
      <c r="S32" s="101">
        <v>0</v>
      </c>
      <c r="T32" s="89">
        <f t="shared" si="6"/>
        <v>1506239</v>
      </c>
      <c r="U32" s="91">
        <f t="shared" si="1"/>
        <v>0.00019913191759390232</v>
      </c>
      <c r="V32" s="92">
        <f t="shared" si="7"/>
        <v>1506539</v>
      </c>
      <c r="W32" s="41">
        <f t="shared" si="8"/>
        <v>1506539</v>
      </c>
      <c r="X32" s="41">
        <f t="shared" si="9"/>
        <v>0</v>
      </c>
      <c r="Y32" s="28"/>
    </row>
    <row r="33" spans="1:25" s="42" customFormat="1" ht="25.5" customHeight="1">
      <c r="A33" s="103">
        <v>4</v>
      </c>
      <c r="B33" s="95" t="s">
        <v>69</v>
      </c>
      <c r="C33" s="96">
        <f t="shared" si="2"/>
        <v>4476359</v>
      </c>
      <c r="D33" s="97">
        <f aca="true" t="shared" si="14" ref="D33:J33">SUM(D34:D38)</f>
        <v>2870616</v>
      </c>
      <c r="E33" s="107">
        <f t="shared" si="14"/>
        <v>1605743</v>
      </c>
      <c r="F33" s="107">
        <f t="shared" si="14"/>
        <v>0</v>
      </c>
      <c r="G33" s="107">
        <f t="shared" si="14"/>
        <v>0</v>
      </c>
      <c r="H33" s="97">
        <f t="shared" si="14"/>
        <v>4476359</v>
      </c>
      <c r="I33" s="97">
        <f t="shared" si="14"/>
        <v>4276925</v>
      </c>
      <c r="J33" s="97">
        <f t="shared" si="14"/>
        <v>1778422</v>
      </c>
      <c r="K33" s="107">
        <v>1778422</v>
      </c>
      <c r="L33" s="107">
        <v>0</v>
      </c>
      <c r="M33" s="107">
        <v>0</v>
      </c>
      <c r="N33" s="107">
        <v>2496017</v>
      </c>
      <c r="O33" s="107">
        <v>0</v>
      </c>
      <c r="P33" s="107">
        <f>SUM(P34:P38)</f>
        <v>2486</v>
      </c>
      <c r="Q33" s="97">
        <f>SUM(Q34:Q38)</f>
        <v>199434</v>
      </c>
      <c r="R33" s="97">
        <f>SUM(R34:R38)</f>
        <v>0</v>
      </c>
      <c r="S33" s="107">
        <f>SUM(S34:S38)</f>
        <v>0</v>
      </c>
      <c r="T33" s="97">
        <f>SUM(T34:T38)</f>
        <v>2697937</v>
      </c>
      <c r="U33" s="98">
        <f t="shared" si="1"/>
        <v>0.4158179065566967</v>
      </c>
      <c r="V33" s="92">
        <f t="shared" si="7"/>
        <v>4476359</v>
      </c>
      <c r="W33" s="41">
        <f t="shared" si="8"/>
        <v>4476359</v>
      </c>
      <c r="X33" s="41">
        <f t="shared" si="9"/>
        <v>0</v>
      </c>
      <c r="Y33" s="40"/>
    </row>
    <row r="34" spans="1:25" s="30" customFormat="1" ht="20.25" customHeight="1">
      <c r="A34" s="99">
        <v>4.1</v>
      </c>
      <c r="B34" s="100" t="s">
        <v>70</v>
      </c>
      <c r="C34" s="89">
        <f t="shared" si="2"/>
        <v>2709858</v>
      </c>
      <c r="D34" s="112">
        <v>1778474</v>
      </c>
      <c r="E34" s="101">
        <v>931384</v>
      </c>
      <c r="F34" s="101">
        <v>0</v>
      </c>
      <c r="G34" s="101">
        <v>0</v>
      </c>
      <c r="H34" s="89">
        <f t="shared" si="4"/>
        <v>2709858</v>
      </c>
      <c r="I34" s="89">
        <f t="shared" si="11"/>
        <v>2538858</v>
      </c>
      <c r="J34" s="89">
        <f t="shared" si="5"/>
        <v>1658644</v>
      </c>
      <c r="K34" s="101">
        <v>1658644</v>
      </c>
      <c r="L34" s="101">
        <v>0</v>
      </c>
      <c r="M34" s="101">
        <v>0</v>
      </c>
      <c r="N34" s="101">
        <v>877728</v>
      </c>
      <c r="O34" s="101">
        <v>0</v>
      </c>
      <c r="P34" s="101">
        <v>2486</v>
      </c>
      <c r="Q34" s="104">
        <f>H34-I34-R34-S34</f>
        <v>171000</v>
      </c>
      <c r="R34" s="101">
        <v>0</v>
      </c>
      <c r="S34" s="101">
        <v>0</v>
      </c>
      <c r="T34" s="89">
        <f t="shared" si="6"/>
        <v>1051214</v>
      </c>
      <c r="U34" s="91">
        <f t="shared" si="1"/>
        <v>0.6533031780430414</v>
      </c>
      <c r="V34" s="92">
        <f t="shared" si="7"/>
        <v>2709858</v>
      </c>
      <c r="W34" s="41">
        <f t="shared" si="8"/>
        <v>2709858</v>
      </c>
      <c r="X34" s="41">
        <f t="shared" si="9"/>
        <v>0</v>
      </c>
      <c r="Y34" s="28"/>
    </row>
    <row r="35" spans="1:25" s="30" customFormat="1" ht="20.25" customHeight="1">
      <c r="A35" s="99">
        <v>4.3</v>
      </c>
      <c r="B35" s="100" t="s">
        <v>71</v>
      </c>
      <c r="C35" s="89">
        <f t="shared" si="2"/>
        <v>771530</v>
      </c>
      <c r="D35" s="112">
        <v>255391</v>
      </c>
      <c r="E35" s="101">
        <v>516139</v>
      </c>
      <c r="F35" s="101">
        <v>0</v>
      </c>
      <c r="G35" s="101">
        <v>0</v>
      </c>
      <c r="H35" s="89">
        <f t="shared" si="4"/>
        <v>771530</v>
      </c>
      <c r="I35" s="89">
        <f t="shared" si="11"/>
        <v>771530</v>
      </c>
      <c r="J35" s="89">
        <f t="shared" si="5"/>
        <v>16196</v>
      </c>
      <c r="K35" s="101">
        <v>16196</v>
      </c>
      <c r="L35" s="101">
        <v>0</v>
      </c>
      <c r="M35" s="101">
        <v>0</v>
      </c>
      <c r="N35" s="101">
        <v>755334</v>
      </c>
      <c r="O35" s="101">
        <v>0</v>
      </c>
      <c r="P35" s="101">
        <v>0</v>
      </c>
      <c r="Q35" s="104">
        <f>H35-I35-R35-S35</f>
        <v>0</v>
      </c>
      <c r="R35" s="101">
        <v>0</v>
      </c>
      <c r="S35" s="101">
        <v>0</v>
      </c>
      <c r="T35" s="89">
        <f t="shared" si="6"/>
        <v>755334</v>
      </c>
      <c r="U35" s="91">
        <f t="shared" si="1"/>
        <v>0.02099205474835716</v>
      </c>
      <c r="V35" s="92">
        <f t="shared" si="7"/>
        <v>771530</v>
      </c>
      <c r="W35" s="41">
        <f t="shared" si="8"/>
        <v>771530</v>
      </c>
      <c r="X35" s="41">
        <f t="shared" si="9"/>
        <v>0</v>
      </c>
      <c r="Y35" s="28"/>
    </row>
    <row r="36" spans="1:25" s="30" customFormat="1" ht="20.25" customHeight="1">
      <c r="A36" s="99">
        <v>4.4</v>
      </c>
      <c r="B36" s="100" t="s">
        <v>72</v>
      </c>
      <c r="C36" s="89">
        <f t="shared" si="2"/>
        <v>617066</v>
      </c>
      <c r="D36" s="112">
        <v>463151</v>
      </c>
      <c r="E36" s="101">
        <v>153915</v>
      </c>
      <c r="F36" s="101">
        <v>0</v>
      </c>
      <c r="G36" s="101">
        <v>0</v>
      </c>
      <c r="H36" s="89">
        <f t="shared" si="4"/>
        <v>617066</v>
      </c>
      <c r="I36" s="89">
        <f t="shared" si="11"/>
        <v>591577</v>
      </c>
      <c r="J36" s="89">
        <f t="shared" si="5"/>
        <v>101282</v>
      </c>
      <c r="K36" s="101">
        <v>101282</v>
      </c>
      <c r="L36" s="101">
        <v>0</v>
      </c>
      <c r="M36" s="101">
        <v>0</v>
      </c>
      <c r="N36" s="101">
        <v>490295</v>
      </c>
      <c r="O36" s="101">
        <v>0</v>
      </c>
      <c r="P36" s="101">
        <v>0</v>
      </c>
      <c r="Q36" s="104">
        <f>H36-I36-R36-S36</f>
        <v>25489</v>
      </c>
      <c r="R36" s="101">
        <v>0</v>
      </c>
      <c r="S36" s="101">
        <v>0</v>
      </c>
      <c r="T36" s="89">
        <f t="shared" si="6"/>
        <v>515784</v>
      </c>
      <c r="U36" s="91">
        <f t="shared" si="1"/>
        <v>0.17120679133908182</v>
      </c>
      <c r="V36" s="92">
        <f t="shared" si="7"/>
        <v>617066</v>
      </c>
      <c r="W36" s="41">
        <f t="shared" si="8"/>
        <v>617066</v>
      </c>
      <c r="X36" s="41">
        <f t="shared" si="9"/>
        <v>0</v>
      </c>
      <c r="Y36" s="28"/>
    </row>
    <row r="37" spans="1:25" s="30" customFormat="1" ht="20.25" customHeight="1">
      <c r="A37" s="99">
        <v>4.5</v>
      </c>
      <c r="B37" s="100" t="s">
        <v>73</v>
      </c>
      <c r="C37" s="89">
        <f t="shared" si="2"/>
        <v>371605</v>
      </c>
      <c r="D37" s="112">
        <v>368700</v>
      </c>
      <c r="E37" s="101">
        <v>2905</v>
      </c>
      <c r="F37" s="101">
        <v>0</v>
      </c>
      <c r="G37" s="101">
        <v>0</v>
      </c>
      <c r="H37" s="89">
        <f t="shared" si="4"/>
        <v>371605</v>
      </c>
      <c r="I37" s="89">
        <f t="shared" si="11"/>
        <v>368660</v>
      </c>
      <c r="J37" s="89">
        <f t="shared" si="5"/>
        <v>1500</v>
      </c>
      <c r="K37" s="101">
        <v>1500</v>
      </c>
      <c r="L37" s="101">
        <v>0</v>
      </c>
      <c r="M37" s="101">
        <v>0</v>
      </c>
      <c r="N37" s="101">
        <v>367160</v>
      </c>
      <c r="O37" s="101">
        <v>0</v>
      </c>
      <c r="P37" s="101">
        <v>0</v>
      </c>
      <c r="Q37" s="104">
        <f>H37-I37-R37-S37</f>
        <v>2945</v>
      </c>
      <c r="R37" s="101">
        <v>0</v>
      </c>
      <c r="S37" s="101">
        <v>0</v>
      </c>
      <c r="T37" s="89">
        <f t="shared" si="6"/>
        <v>370105</v>
      </c>
      <c r="U37" s="91">
        <f t="shared" si="1"/>
        <v>0.004068789670699289</v>
      </c>
      <c r="V37" s="92">
        <f t="shared" si="7"/>
        <v>371605</v>
      </c>
      <c r="W37" s="41">
        <f t="shared" si="8"/>
        <v>371605</v>
      </c>
      <c r="X37" s="41">
        <f t="shared" si="9"/>
        <v>0</v>
      </c>
      <c r="Y37" s="28"/>
    </row>
    <row r="38" spans="1:25" s="30" customFormat="1" ht="20.25" customHeight="1">
      <c r="A38" s="99">
        <v>4.6</v>
      </c>
      <c r="B38" s="100" t="s">
        <v>74</v>
      </c>
      <c r="C38" s="89">
        <f t="shared" si="2"/>
        <v>6300</v>
      </c>
      <c r="D38" s="112">
        <v>4900</v>
      </c>
      <c r="E38" s="101">
        <v>1400</v>
      </c>
      <c r="F38" s="101">
        <v>0</v>
      </c>
      <c r="G38" s="101">
        <v>0</v>
      </c>
      <c r="H38" s="89">
        <f t="shared" si="4"/>
        <v>6300</v>
      </c>
      <c r="I38" s="89">
        <f t="shared" si="11"/>
        <v>6300</v>
      </c>
      <c r="J38" s="89">
        <f t="shared" si="5"/>
        <v>800</v>
      </c>
      <c r="K38" s="101">
        <v>800</v>
      </c>
      <c r="L38" s="101">
        <v>0</v>
      </c>
      <c r="M38" s="101">
        <v>0</v>
      </c>
      <c r="N38" s="101">
        <v>5500</v>
      </c>
      <c r="O38" s="101">
        <v>0</v>
      </c>
      <c r="P38" s="101">
        <v>0</v>
      </c>
      <c r="Q38" s="104">
        <f>H38-I38-R38-S38</f>
        <v>0</v>
      </c>
      <c r="R38" s="101">
        <v>0</v>
      </c>
      <c r="S38" s="101">
        <v>0</v>
      </c>
      <c r="T38" s="89">
        <f t="shared" si="6"/>
        <v>5500</v>
      </c>
      <c r="U38" s="91">
        <f t="shared" si="1"/>
        <v>0.12698412698412698</v>
      </c>
      <c r="V38" s="92">
        <f t="shared" si="7"/>
        <v>6300</v>
      </c>
      <c r="W38" s="41">
        <f t="shared" si="8"/>
        <v>6300</v>
      </c>
      <c r="X38" s="41">
        <f t="shared" si="9"/>
        <v>0</v>
      </c>
      <c r="Y38" s="28"/>
    </row>
    <row r="39" spans="1:25" s="42" customFormat="1" ht="26.25" customHeight="1">
      <c r="A39" s="103">
        <v>5</v>
      </c>
      <c r="B39" s="95" t="s">
        <v>75</v>
      </c>
      <c r="C39" s="96">
        <f t="shared" si="2"/>
        <v>45407094</v>
      </c>
      <c r="D39" s="97">
        <f aca="true" t="shared" si="15" ref="D39:J39">SUM(D40:D43)</f>
        <v>43058412</v>
      </c>
      <c r="E39" s="107">
        <f t="shared" si="15"/>
        <v>2348682</v>
      </c>
      <c r="F39" s="107">
        <f t="shared" si="15"/>
        <v>200</v>
      </c>
      <c r="G39" s="107">
        <f t="shared" si="15"/>
        <v>0</v>
      </c>
      <c r="H39" s="97">
        <f t="shared" si="15"/>
        <v>45406894</v>
      </c>
      <c r="I39" s="97">
        <f t="shared" si="15"/>
        <v>30909317</v>
      </c>
      <c r="J39" s="97">
        <f t="shared" si="15"/>
        <v>1393674</v>
      </c>
      <c r="K39" s="107">
        <v>1366304</v>
      </c>
      <c r="L39" s="107">
        <v>27370</v>
      </c>
      <c r="M39" s="107">
        <v>0</v>
      </c>
      <c r="N39" s="107">
        <v>29515643</v>
      </c>
      <c r="O39" s="107">
        <v>0</v>
      </c>
      <c r="P39" s="107">
        <f>SUM(P40:P43)</f>
        <v>0</v>
      </c>
      <c r="Q39" s="97">
        <f>SUM(Q40:Q43)</f>
        <v>14497577</v>
      </c>
      <c r="R39" s="97">
        <f>SUM(R40:R43)</f>
        <v>0</v>
      </c>
      <c r="S39" s="107">
        <f>SUM(S40:S43)</f>
        <v>0</v>
      </c>
      <c r="T39" s="97">
        <f>SUM(T40:T43)</f>
        <v>44013220</v>
      </c>
      <c r="U39" s="98">
        <f t="shared" si="1"/>
        <v>0.0450891231275023</v>
      </c>
      <c r="V39" s="92">
        <f t="shared" si="7"/>
        <v>45406894</v>
      </c>
      <c r="W39" s="41">
        <f t="shared" si="8"/>
        <v>45406894</v>
      </c>
      <c r="X39" s="41">
        <f t="shared" si="9"/>
        <v>0</v>
      </c>
      <c r="Y39" s="40"/>
    </row>
    <row r="40" spans="1:25" s="30" customFormat="1" ht="24.75" customHeight="1">
      <c r="A40" s="99">
        <v>5.1</v>
      </c>
      <c r="B40" s="100" t="s">
        <v>76</v>
      </c>
      <c r="C40" s="89">
        <f>D40+E40</f>
        <v>1566444</v>
      </c>
      <c r="D40" s="113">
        <v>1414075</v>
      </c>
      <c r="E40" s="101">
        <v>152369</v>
      </c>
      <c r="F40" s="101">
        <v>0</v>
      </c>
      <c r="G40" s="101">
        <v>0</v>
      </c>
      <c r="H40" s="89">
        <f>C40-G40-F40</f>
        <v>1566444</v>
      </c>
      <c r="I40" s="89">
        <f t="shared" si="11"/>
        <v>555739</v>
      </c>
      <c r="J40" s="89">
        <f t="shared" si="5"/>
        <v>4490</v>
      </c>
      <c r="K40" s="101">
        <v>4490</v>
      </c>
      <c r="L40" s="101">
        <v>0</v>
      </c>
      <c r="M40" s="101">
        <v>0</v>
      </c>
      <c r="N40" s="101">
        <v>551249</v>
      </c>
      <c r="O40" s="101">
        <v>0</v>
      </c>
      <c r="P40" s="101">
        <v>0</v>
      </c>
      <c r="Q40" s="104">
        <f>H40-I40-R40-S40</f>
        <v>1010705</v>
      </c>
      <c r="R40" s="101">
        <v>0</v>
      </c>
      <c r="S40" s="101">
        <v>0</v>
      </c>
      <c r="T40" s="89">
        <f t="shared" si="6"/>
        <v>1561954</v>
      </c>
      <c r="U40" s="91">
        <f t="shared" si="1"/>
        <v>0.008079332204506072</v>
      </c>
      <c r="V40" s="92">
        <f>IF(H40=C40-F40-G40,H40,"KT lai")</f>
        <v>1566444</v>
      </c>
      <c r="W40" s="41">
        <f t="shared" si="8"/>
        <v>1566444</v>
      </c>
      <c r="X40" s="41">
        <f t="shared" si="9"/>
        <v>0</v>
      </c>
      <c r="Y40" s="28"/>
    </row>
    <row r="41" spans="1:25" s="30" customFormat="1" ht="24.75" customHeight="1">
      <c r="A41" s="99">
        <v>5.2</v>
      </c>
      <c r="B41" s="100" t="s">
        <v>77</v>
      </c>
      <c r="C41" s="89">
        <f>D41+E41</f>
        <v>9940</v>
      </c>
      <c r="D41" s="113">
        <v>5000</v>
      </c>
      <c r="E41" s="101">
        <v>4940</v>
      </c>
      <c r="F41" s="101">
        <v>0</v>
      </c>
      <c r="G41" s="101">
        <v>0</v>
      </c>
      <c r="H41" s="89">
        <f>C41-G41-F41</f>
        <v>9940</v>
      </c>
      <c r="I41" s="89">
        <f t="shared" si="11"/>
        <v>9940</v>
      </c>
      <c r="J41" s="89">
        <f>K41+L41+M41</f>
        <v>8840</v>
      </c>
      <c r="K41" s="101">
        <v>8840</v>
      </c>
      <c r="L41" s="101">
        <v>0</v>
      </c>
      <c r="M41" s="101">
        <v>0</v>
      </c>
      <c r="N41" s="101">
        <v>1100</v>
      </c>
      <c r="O41" s="101">
        <v>0</v>
      </c>
      <c r="P41" s="101">
        <v>0</v>
      </c>
      <c r="Q41" s="104">
        <f>H41-I41-R41-S41</f>
        <v>0</v>
      </c>
      <c r="R41" s="101">
        <v>0</v>
      </c>
      <c r="S41" s="101">
        <v>0</v>
      </c>
      <c r="T41" s="89">
        <f>SUM(N41:S41)</f>
        <v>1100</v>
      </c>
      <c r="U41" s="91">
        <f>IF(I41&lt;&gt;0,J41/I41,"")</f>
        <v>0.8893360160965795</v>
      </c>
      <c r="V41" s="92">
        <f>IF(H41=C41-F41-G41,H41,"KT lai")</f>
        <v>9940</v>
      </c>
      <c r="W41" s="41">
        <f>I41+Q41+R41+S41</f>
        <v>9940</v>
      </c>
      <c r="X41" s="41">
        <f>V41-W41</f>
        <v>0</v>
      </c>
      <c r="Y41" s="28"/>
    </row>
    <row r="42" spans="1:25" s="30" customFormat="1" ht="24.75" customHeight="1">
      <c r="A42" s="99">
        <v>5.3</v>
      </c>
      <c r="B42" s="100" t="s">
        <v>78</v>
      </c>
      <c r="C42" s="89">
        <f>D42+E42</f>
        <v>5753294</v>
      </c>
      <c r="D42" s="113">
        <v>5575444</v>
      </c>
      <c r="E42" s="101">
        <v>177850</v>
      </c>
      <c r="F42" s="101">
        <v>200</v>
      </c>
      <c r="G42" s="101">
        <v>0</v>
      </c>
      <c r="H42" s="89">
        <f>C42-G42-F42</f>
        <v>5753094</v>
      </c>
      <c r="I42" s="89">
        <f t="shared" si="11"/>
        <v>4993008</v>
      </c>
      <c r="J42" s="89">
        <f>K42+L42+M42</f>
        <v>127917</v>
      </c>
      <c r="K42" s="101">
        <v>100547</v>
      </c>
      <c r="L42" s="101">
        <v>27370</v>
      </c>
      <c r="M42" s="101">
        <v>0</v>
      </c>
      <c r="N42" s="101">
        <v>4865091</v>
      </c>
      <c r="O42" s="101">
        <v>0</v>
      </c>
      <c r="P42" s="101">
        <v>0</v>
      </c>
      <c r="Q42" s="104">
        <f>H42-I42-R42-S42</f>
        <v>760086</v>
      </c>
      <c r="R42" s="101"/>
      <c r="S42" s="101">
        <v>0</v>
      </c>
      <c r="T42" s="89">
        <f>SUM(N42:S42)</f>
        <v>5625177</v>
      </c>
      <c r="U42" s="91">
        <f>IF(I42&lt;&gt;0,J42/I42,"")</f>
        <v>0.025619225925534266</v>
      </c>
      <c r="V42" s="92"/>
      <c r="W42" s="41"/>
      <c r="X42" s="41"/>
      <c r="Y42" s="28"/>
    </row>
    <row r="43" spans="1:25" s="30" customFormat="1" ht="24.75" customHeight="1">
      <c r="A43" s="99">
        <v>5.4</v>
      </c>
      <c r="B43" s="100" t="s">
        <v>79</v>
      </c>
      <c r="C43" s="89">
        <f>D43+E43</f>
        <v>38077416</v>
      </c>
      <c r="D43" s="113">
        <v>36063893</v>
      </c>
      <c r="E43" s="101">
        <v>2013523</v>
      </c>
      <c r="F43" s="101">
        <v>0</v>
      </c>
      <c r="G43" s="101">
        <v>0</v>
      </c>
      <c r="H43" s="89">
        <f>C43-G43-F43</f>
        <v>38077416</v>
      </c>
      <c r="I43" s="89">
        <f t="shared" si="11"/>
        <v>25350630</v>
      </c>
      <c r="J43" s="89">
        <f>K43+L43+M43</f>
        <v>1252427</v>
      </c>
      <c r="K43" s="101">
        <v>1252427</v>
      </c>
      <c r="L43" s="101">
        <v>0</v>
      </c>
      <c r="M43" s="101">
        <v>0</v>
      </c>
      <c r="N43" s="101">
        <v>24098203</v>
      </c>
      <c r="O43" s="101">
        <v>0</v>
      </c>
      <c r="P43" s="101">
        <v>0</v>
      </c>
      <c r="Q43" s="104">
        <f>H43-I43-R43-S43</f>
        <v>12726786</v>
      </c>
      <c r="R43" s="101">
        <v>0</v>
      </c>
      <c r="S43" s="101">
        <v>0</v>
      </c>
      <c r="T43" s="89">
        <f t="shared" si="6"/>
        <v>36824989</v>
      </c>
      <c r="U43" s="91">
        <f t="shared" si="1"/>
        <v>0.049404176543147056</v>
      </c>
      <c r="V43" s="92">
        <f>IF(H43=C43-F43-G43,H43,"KT lai")</f>
        <v>38077416</v>
      </c>
      <c r="W43" s="41">
        <f t="shared" si="8"/>
        <v>38077416</v>
      </c>
      <c r="X43" s="41">
        <f t="shared" si="9"/>
        <v>0</v>
      </c>
      <c r="Y43" s="28"/>
    </row>
    <row r="44" spans="1:25" s="42" customFormat="1" ht="27" customHeight="1">
      <c r="A44" s="103">
        <v>6</v>
      </c>
      <c r="B44" s="95" t="s">
        <v>80</v>
      </c>
      <c r="C44" s="96">
        <f t="shared" si="2"/>
        <v>75288710</v>
      </c>
      <c r="D44" s="97">
        <f aca="true" t="shared" si="16" ref="D44:J44">SUM(D45:D48)</f>
        <v>70294687</v>
      </c>
      <c r="E44" s="107">
        <f t="shared" si="16"/>
        <v>4994023</v>
      </c>
      <c r="F44" s="107">
        <f t="shared" si="16"/>
        <v>33200</v>
      </c>
      <c r="G44" s="107">
        <f t="shared" si="16"/>
        <v>0</v>
      </c>
      <c r="H44" s="97">
        <f t="shared" si="16"/>
        <v>75255510</v>
      </c>
      <c r="I44" s="97">
        <f t="shared" si="16"/>
        <v>30694583</v>
      </c>
      <c r="J44" s="97">
        <f t="shared" si="16"/>
        <v>2853173</v>
      </c>
      <c r="K44" s="107">
        <v>2853173</v>
      </c>
      <c r="L44" s="107">
        <v>0</v>
      </c>
      <c r="M44" s="107">
        <v>0</v>
      </c>
      <c r="N44" s="107">
        <v>27841410</v>
      </c>
      <c r="O44" s="107">
        <v>0</v>
      </c>
      <c r="P44" s="107">
        <f>SUM(P45:P48)</f>
        <v>0</v>
      </c>
      <c r="Q44" s="97">
        <f>SUM(Q45:Q48)</f>
        <v>44560927</v>
      </c>
      <c r="R44" s="97">
        <f>SUM(R45:R48)</f>
        <v>0</v>
      </c>
      <c r="S44" s="107">
        <f>SUM(S45:S48)</f>
        <v>0</v>
      </c>
      <c r="T44" s="97">
        <f>SUM(T45:T48)</f>
        <v>72402337</v>
      </c>
      <c r="U44" s="98">
        <f t="shared" si="1"/>
        <v>0.09295363289346527</v>
      </c>
      <c r="V44" s="92">
        <f t="shared" si="7"/>
        <v>75255510</v>
      </c>
      <c r="W44" s="41">
        <f t="shared" si="8"/>
        <v>75255510</v>
      </c>
      <c r="X44" s="41">
        <f t="shared" si="9"/>
        <v>0</v>
      </c>
      <c r="Y44" s="40"/>
    </row>
    <row r="45" spans="1:25" s="30" customFormat="1" ht="27" customHeight="1">
      <c r="A45" s="99">
        <v>6.1</v>
      </c>
      <c r="B45" s="100" t="s">
        <v>81</v>
      </c>
      <c r="C45" s="89">
        <f t="shared" si="2"/>
        <v>44297602</v>
      </c>
      <c r="D45" s="116">
        <v>43620649</v>
      </c>
      <c r="E45" s="116">
        <v>676953</v>
      </c>
      <c r="F45" s="101">
        <v>200</v>
      </c>
      <c r="G45" s="101">
        <v>0</v>
      </c>
      <c r="H45" s="89">
        <f t="shared" si="4"/>
        <v>44297402</v>
      </c>
      <c r="I45" s="89">
        <f t="shared" si="11"/>
        <v>8280071</v>
      </c>
      <c r="J45" s="89">
        <f t="shared" si="5"/>
        <v>366347</v>
      </c>
      <c r="K45" s="101">
        <v>366347</v>
      </c>
      <c r="L45" s="101">
        <v>0</v>
      </c>
      <c r="M45" s="101">
        <v>0</v>
      </c>
      <c r="N45" s="116">
        <v>7913724</v>
      </c>
      <c r="O45" s="101">
        <v>0</v>
      </c>
      <c r="P45" s="101">
        <v>0</v>
      </c>
      <c r="Q45" s="105">
        <f>H45-I45-R45-S45</f>
        <v>36017331</v>
      </c>
      <c r="R45" s="101">
        <v>0</v>
      </c>
      <c r="S45" s="101">
        <v>0</v>
      </c>
      <c r="T45" s="89">
        <f t="shared" si="6"/>
        <v>43931055</v>
      </c>
      <c r="U45" s="91">
        <f t="shared" si="1"/>
        <v>0.04424442737266383</v>
      </c>
      <c r="V45" s="92">
        <f t="shared" si="7"/>
        <v>44297402</v>
      </c>
      <c r="W45" s="41">
        <f t="shared" si="8"/>
        <v>44297402</v>
      </c>
      <c r="X45" s="41">
        <f t="shared" si="9"/>
        <v>0</v>
      </c>
      <c r="Y45" s="28"/>
    </row>
    <row r="46" spans="1:25" s="30" customFormat="1" ht="27" customHeight="1">
      <c r="A46" s="99">
        <v>6.3</v>
      </c>
      <c r="B46" s="100" t="s">
        <v>82</v>
      </c>
      <c r="C46" s="89">
        <f t="shared" si="2"/>
        <v>19000175</v>
      </c>
      <c r="D46" s="116">
        <v>18609552</v>
      </c>
      <c r="E46" s="116">
        <v>390623</v>
      </c>
      <c r="F46" s="101">
        <v>0</v>
      </c>
      <c r="G46" s="101">
        <v>0</v>
      </c>
      <c r="H46" s="89">
        <f t="shared" si="4"/>
        <v>19000175</v>
      </c>
      <c r="I46" s="89">
        <f t="shared" si="11"/>
        <v>13074777</v>
      </c>
      <c r="J46" s="89">
        <f t="shared" si="5"/>
        <v>308023</v>
      </c>
      <c r="K46" s="101">
        <v>308023</v>
      </c>
      <c r="L46" s="101">
        <v>0</v>
      </c>
      <c r="M46" s="101">
        <v>0</v>
      </c>
      <c r="N46" s="116">
        <v>12766754</v>
      </c>
      <c r="O46" s="101">
        <v>0</v>
      </c>
      <c r="P46" s="101">
        <v>0</v>
      </c>
      <c r="Q46" s="105">
        <f>H46-I46-R46-S46</f>
        <v>5925398</v>
      </c>
      <c r="R46" s="101">
        <v>0</v>
      </c>
      <c r="S46" s="101">
        <v>0</v>
      </c>
      <c r="T46" s="89">
        <f t="shared" si="6"/>
        <v>18692152</v>
      </c>
      <c r="U46" s="91">
        <f t="shared" si="1"/>
        <v>0.02355856623787924</v>
      </c>
      <c r="V46" s="92">
        <f t="shared" si="7"/>
        <v>19000175</v>
      </c>
      <c r="W46" s="41">
        <f t="shared" si="8"/>
        <v>19000175</v>
      </c>
      <c r="X46" s="41">
        <f t="shared" si="9"/>
        <v>0</v>
      </c>
      <c r="Y46" s="28"/>
    </row>
    <row r="47" spans="1:25" s="30" customFormat="1" ht="27" customHeight="1">
      <c r="A47" s="99">
        <v>6.4</v>
      </c>
      <c r="B47" s="100" t="s">
        <v>83</v>
      </c>
      <c r="C47" s="89">
        <f t="shared" si="2"/>
        <v>11342033</v>
      </c>
      <c r="D47" s="117">
        <v>8064486</v>
      </c>
      <c r="E47" s="117">
        <v>3277547</v>
      </c>
      <c r="F47" s="101">
        <v>33000</v>
      </c>
      <c r="G47" s="101">
        <v>0</v>
      </c>
      <c r="H47" s="89">
        <f t="shared" si="4"/>
        <v>11309033</v>
      </c>
      <c r="I47" s="89">
        <f t="shared" si="11"/>
        <v>8690835</v>
      </c>
      <c r="J47" s="89">
        <f t="shared" si="5"/>
        <v>1578803</v>
      </c>
      <c r="K47" s="101">
        <v>1578803</v>
      </c>
      <c r="L47" s="101">
        <v>0</v>
      </c>
      <c r="M47" s="101">
        <v>0</v>
      </c>
      <c r="N47" s="117">
        <v>7112032</v>
      </c>
      <c r="O47" s="101">
        <v>0</v>
      </c>
      <c r="P47" s="101">
        <v>0</v>
      </c>
      <c r="Q47" s="105">
        <f>H47-I47-R47-S47</f>
        <v>2618198</v>
      </c>
      <c r="R47" s="101">
        <v>0</v>
      </c>
      <c r="S47" s="101">
        <v>0</v>
      </c>
      <c r="T47" s="89">
        <f t="shared" si="6"/>
        <v>9730230</v>
      </c>
      <c r="U47" s="91">
        <f t="shared" si="1"/>
        <v>0.18166298175031514</v>
      </c>
      <c r="V47" s="92">
        <f t="shared" si="7"/>
        <v>11309033</v>
      </c>
      <c r="W47" s="41">
        <f t="shared" si="8"/>
        <v>11309033</v>
      </c>
      <c r="X47" s="41">
        <f t="shared" si="9"/>
        <v>0</v>
      </c>
      <c r="Y47" s="28"/>
    </row>
    <row r="48" spans="1:25" s="30" customFormat="1" ht="27" customHeight="1">
      <c r="A48" s="99">
        <v>6.5</v>
      </c>
      <c r="B48" s="100" t="s">
        <v>84</v>
      </c>
      <c r="C48" s="89">
        <f t="shared" si="2"/>
        <v>648900</v>
      </c>
      <c r="D48" s="118"/>
      <c r="E48" s="160">
        <v>648900</v>
      </c>
      <c r="F48" s="101">
        <v>0</v>
      </c>
      <c r="G48" s="101">
        <v>0</v>
      </c>
      <c r="H48" s="89">
        <f t="shared" si="4"/>
        <v>648900</v>
      </c>
      <c r="I48" s="89">
        <f t="shared" si="11"/>
        <v>648900</v>
      </c>
      <c r="J48" s="89">
        <f t="shared" si="5"/>
        <v>600000</v>
      </c>
      <c r="K48" s="101">
        <v>600000</v>
      </c>
      <c r="L48" s="101">
        <v>0</v>
      </c>
      <c r="M48" s="101">
        <v>0</v>
      </c>
      <c r="N48" s="160">
        <v>48900</v>
      </c>
      <c r="O48" s="101">
        <v>0</v>
      </c>
      <c r="P48" s="101">
        <v>0</v>
      </c>
      <c r="Q48" s="105">
        <f>H48-I48-R48-S48</f>
        <v>0</v>
      </c>
      <c r="R48" s="101">
        <v>0</v>
      </c>
      <c r="S48" s="101">
        <v>0</v>
      </c>
      <c r="T48" s="89">
        <f t="shared" si="6"/>
        <v>48900</v>
      </c>
      <c r="U48" s="91">
        <f t="shared" si="1"/>
        <v>0.9246417013407304</v>
      </c>
      <c r="V48" s="92">
        <f t="shared" si="7"/>
        <v>648900</v>
      </c>
      <c r="W48" s="41">
        <f t="shared" si="8"/>
        <v>648900</v>
      </c>
      <c r="X48" s="41">
        <f t="shared" si="9"/>
        <v>0</v>
      </c>
      <c r="Y48" s="28"/>
    </row>
    <row r="49" spans="1:21" ht="21" customHeight="1">
      <c r="A49" s="190"/>
      <c r="B49" s="191"/>
      <c r="C49" s="191"/>
      <c r="D49" s="191"/>
      <c r="E49" s="191"/>
      <c r="F49" s="55"/>
      <c r="G49" s="55"/>
      <c r="H49" s="55"/>
      <c r="I49" s="56"/>
      <c r="J49" s="56"/>
      <c r="K49" s="56"/>
      <c r="L49" s="56"/>
      <c r="M49" s="56"/>
      <c r="N49" s="192" t="s">
        <v>91</v>
      </c>
      <c r="O49" s="193"/>
      <c r="P49" s="193"/>
      <c r="Q49" s="193"/>
      <c r="R49" s="193"/>
      <c r="S49" s="193"/>
      <c r="T49" s="193"/>
      <c r="U49" s="193"/>
    </row>
    <row r="50" spans="1:21" ht="21" customHeight="1">
      <c r="A50" s="194" t="s">
        <v>85</v>
      </c>
      <c r="B50" s="195"/>
      <c r="C50" s="195"/>
      <c r="D50" s="195"/>
      <c r="E50" s="195"/>
      <c r="F50" s="60"/>
      <c r="G50" s="60"/>
      <c r="H50" s="60"/>
      <c r="I50" s="61"/>
      <c r="J50" s="61"/>
      <c r="K50" s="61"/>
      <c r="L50" s="61"/>
      <c r="M50" s="61"/>
      <c r="N50" s="196" t="str">
        <f>'[2]TT'!C5</f>
        <v>PHÓ CỤC TRƯỞNG</v>
      </c>
      <c r="O50" s="196"/>
      <c r="P50" s="196"/>
      <c r="Q50" s="196"/>
      <c r="R50" s="196"/>
      <c r="S50" s="196"/>
      <c r="T50" s="196"/>
      <c r="U50" s="196"/>
    </row>
    <row r="51" spans="1:21" ht="66.75" customHeight="1">
      <c r="A51" s="63"/>
      <c r="B51" s="63"/>
      <c r="C51" s="63"/>
      <c r="D51" s="63"/>
      <c r="E51" s="63"/>
      <c r="F51" s="65"/>
      <c r="G51" s="65"/>
      <c r="H51" s="65"/>
      <c r="I51" s="61"/>
      <c r="J51" s="61"/>
      <c r="K51" s="61"/>
      <c r="L51" s="61"/>
      <c r="M51" s="61"/>
      <c r="N51" s="61"/>
      <c r="O51" s="61"/>
      <c r="P51" s="65"/>
      <c r="Q51" s="106"/>
      <c r="R51" s="65"/>
      <c r="S51" s="61"/>
      <c r="T51" s="68"/>
      <c r="U51" s="68"/>
    </row>
    <row r="52" spans="1:21" ht="21" customHeight="1">
      <c r="A52" s="186" t="str">
        <f>'[1]TT'!C6</f>
        <v>TRẦN ĐỨC TOẢN</v>
      </c>
      <c r="B52" s="186"/>
      <c r="C52" s="186"/>
      <c r="D52" s="186"/>
      <c r="E52" s="186"/>
      <c r="F52" s="69" t="s">
        <v>45</v>
      </c>
      <c r="G52" s="69"/>
      <c r="H52" s="69"/>
      <c r="I52" s="69"/>
      <c r="J52" s="69"/>
      <c r="K52" s="69"/>
      <c r="L52" s="69"/>
      <c r="M52" s="69"/>
      <c r="N52" s="187" t="str">
        <f>'[2]TT'!C3</f>
        <v>Vũ Ngọc Phương</v>
      </c>
      <c r="O52" s="187"/>
      <c r="P52" s="187"/>
      <c r="Q52" s="187"/>
      <c r="R52" s="187"/>
      <c r="S52" s="187"/>
      <c r="T52" s="187"/>
      <c r="U52" s="187"/>
    </row>
    <row r="53" ht="21" customHeight="1"/>
    <row r="54" ht="21" customHeight="1"/>
  </sheetData>
  <sheetProtection formatCells="0" formatColumns="0" formatRows="0" insertRows="0" deleteRows="0"/>
  <mergeCells count="34">
    <mergeCell ref="A52:E52"/>
    <mergeCell ref="N52:U52"/>
    <mergeCell ref="A8:B8"/>
    <mergeCell ref="A9:B9"/>
    <mergeCell ref="A49:E49"/>
    <mergeCell ref="N49:U49"/>
    <mergeCell ref="A50:E50"/>
    <mergeCell ref="N50:U50"/>
    <mergeCell ref="S4:S7"/>
    <mergeCell ref="J5:J7"/>
    <mergeCell ref="K5:M6"/>
    <mergeCell ref="N5:N7"/>
    <mergeCell ref="O5:O7"/>
    <mergeCell ref="P5:P7"/>
    <mergeCell ref="H3:H7"/>
    <mergeCell ref="I3:S3"/>
    <mergeCell ref="T3:T7"/>
    <mergeCell ref="U3:U7"/>
    <mergeCell ref="D4:D7"/>
    <mergeCell ref="E4:E7"/>
    <mergeCell ref="I4:I7"/>
    <mergeCell ref="J4:P4"/>
    <mergeCell ref="Q4:Q7"/>
    <mergeCell ref="R4:R7"/>
    <mergeCell ref="A1:D1"/>
    <mergeCell ref="E1:O1"/>
    <mergeCell ref="P1:U1"/>
    <mergeCell ref="P2:U2"/>
    <mergeCell ref="A3:A7"/>
    <mergeCell ref="B3:B7"/>
    <mergeCell ref="C3:C7"/>
    <mergeCell ref="D3:E3"/>
    <mergeCell ref="F3:F7"/>
    <mergeCell ref="G3:G7"/>
  </mergeCells>
  <printOptions/>
  <pageMargins left="0.38" right="0.3" top="0.39" bottom="0.42" header="0.31496062992126" footer="0.31496062992126"/>
  <pageSetup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J34"/>
  <sheetViews>
    <sheetView tabSelected="1" view="pageBreakPreview" zoomScaleSheetLayoutView="100" zoomScalePageLayoutView="0" workbookViewId="0" topLeftCell="A1">
      <selection activeCell="J11" sqref="J11"/>
    </sheetView>
  </sheetViews>
  <sheetFormatPr defaultColWidth="9.00390625" defaultRowHeight="15.75"/>
  <cols>
    <col min="1" max="1" width="4.75390625" style="0" customWidth="1"/>
    <col min="2" max="2" width="26.50390625" style="0" customWidth="1"/>
    <col min="3" max="4" width="7.625" style="0" customWidth="1"/>
    <col min="5" max="5" width="6.50390625" style="0" customWidth="1"/>
    <col min="6" max="7" width="12.875" style="0" customWidth="1"/>
    <col min="8" max="8" width="11.00390625" style="0" customWidth="1"/>
    <col min="9" max="9" width="15.375" style="0" bestFit="1" customWidth="1"/>
    <col min="10" max="10" width="14.75390625" style="0" bestFit="1" customWidth="1"/>
  </cols>
  <sheetData>
    <row r="1" spans="1:8" s="119" customFormat="1" ht="21.75" customHeight="1">
      <c r="A1" s="215" t="s">
        <v>92</v>
      </c>
      <c r="B1" s="215"/>
      <c r="C1" s="215"/>
      <c r="D1" s="215"/>
      <c r="E1" s="215"/>
      <c r="F1" s="215"/>
      <c r="G1" s="215"/>
      <c r="H1" s="215"/>
    </row>
    <row r="2" spans="1:8" s="119" customFormat="1" ht="21.75" customHeight="1">
      <c r="A2" s="216" t="s">
        <v>120</v>
      </c>
      <c r="B2" s="217"/>
      <c r="C2" s="217"/>
      <c r="D2" s="217"/>
      <c r="E2" s="217"/>
      <c r="F2" s="217"/>
      <c r="G2" s="217"/>
      <c r="H2" s="217"/>
    </row>
    <row r="3" spans="6:8" ht="21" customHeight="1">
      <c r="F3" s="218" t="s">
        <v>93</v>
      </c>
      <c r="G3" s="218"/>
      <c r="H3" s="218"/>
    </row>
    <row r="4" spans="1:8" ht="15.75">
      <c r="A4" s="219" t="s">
        <v>94</v>
      </c>
      <c r="B4" s="219" t="s">
        <v>95</v>
      </c>
      <c r="C4" s="221" t="s">
        <v>96</v>
      </c>
      <c r="D4" s="221"/>
      <c r="E4" s="222"/>
      <c r="F4" s="223" t="s">
        <v>97</v>
      </c>
      <c r="G4" s="223"/>
      <c r="H4" s="223"/>
    </row>
    <row r="5" spans="1:8" ht="95.25" customHeight="1">
      <c r="A5" s="220"/>
      <c r="B5" s="220"/>
      <c r="C5" s="120" t="s">
        <v>98</v>
      </c>
      <c r="D5" s="121" t="s">
        <v>99</v>
      </c>
      <c r="E5" s="122" t="s">
        <v>100</v>
      </c>
      <c r="F5" s="120" t="s">
        <v>98</v>
      </c>
      <c r="G5" s="121" t="s">
        <v>99</v>
      </c>
      <c r="H5" s="123" t="s">
        <v>100</v>
      </c>
    </row>
    <row r="6" spans="1:10" ht="15.75">
      <c r="A6" s="124" t="s">
        <v>46</v>
      </c>
      <c r="B6" s="125" t="s">
        <v>101</v>
      </c>
      <c r="C6" s="126">
        <f aca="true" t="shared" si="0" ref="C6:H6">SUM(C7:C19)</f>
        <v>812</v>
      </c>
      <c r="D6" s="126">
        <f t="shared" si="0"/>
        <v>569</v>
      </c>
      <c r="E6" s="127">
        <f t="shared" si="0"/>
        <v>219</v>
      </c>
      <c r="F6" s="126">
        <f t="shared" si="0"/>
        <v>37825003</v>
      </c>
      <c r="G6" s="126">
        <f t="shared" si="0"/>
        <v>27889008</v>
      </c>
      <c r="H6" s="126">
        <f t="shared" si="0"/>
        <v>7572452</v>
      </c>
      <c r="I6" s="138">
        <f>26427487-H20</f>
        <v>7795920</v>
      </c>
      <c r="J6" s="128">
        <f>H6+H20</f>
        <v>26204019</v>
      </c>
    </row>
    <row r="7" spans="1:10" ht="15.75">
      <c r="A7" s="129" t="s">
        <v>25</v>
      </c>
      <c r="B7" s="130" t="s">
        <v>102</v>
      </c>
      <c r="C7" s="131">
        <v>130</v>
      </c>
      <c r="D7" s="132">
        <v>58</v>
      </c>
      <c r="E7" s="133">
        <v>28</v>
      </c>
      <c r="F7" s="131">
        <v>2148206</v>
      </c>
      <c r="G7" s="131">
        <v>1176792</v>
      </c>
      <c r="H7" s="134">
        <v>476654</v>
      </c>
      <c r="I7" s="135">
        <f>I6-7572452</f>
        <v>223468</v>
      </c>
      <c r="J7" s="136">
        <f>'05'!D9</f>
        <v>960555894</v>
      </c>
    </row>
    <row r="8" spans="1:10" ht="15.75">
      <c r="A8" s="129" t="s">
        <v>26</v>
      </c>
      <c r="B8" s="137" t="s">
        <v>103</v>
      </c>
      <c r="C8" s="131">
        <v>46</v>
      </c>
      <c r="D8" s="132">
        <f>E8+'[2]01'!Q12</f>
        <v>16</v>
      </c>
      <c r="E8" s="133">
        <v>6</v>
      </c>
      <c r="F8" s="131">
        <v>2953815</v>
      </c>
      <c r="G8" s="131">
        <v>745520</v>
      </c>
      <c r="H8" s="134">
        <v>369524</v>
      </c>
      <c r="I8" s="128"/>
      <c r="J8" s="128"/>
    </row>
    <row r="9" spans="1:10" ht="15.75">
      <c r="A9" s="129" t="s">
        <v>27</v>
      </c>
      <c r="B9" s="137" t="s">
        <v>104</v>
      </c>
      <c r="C9" s="131">
        <v>0</v>
      </c>
      <c r="D9" s="132">
        <v>0</v>
      </c>
      <c r="E9" s="133">
        <v>0</v>
      </c>
      <c r="F9" s="131"/>
      <c r="G9" s="131">
        <f>H9+'[2]02'!Q13</f>
        <v>0</v>
      </c>
      <c r="H9" s="134"/>
      <c r="I9" s="138"/>
      <c r="J9" s="128"/>
    </row>
    <row r="10" spans="1:10" ht="15.75">
      <c r="A10" s="129" t="s">
        <v>28</v>
      </c>
      <c r="B10" s="130" t="s">
        <v>105</v>
      </c>
      <c r="C10" s="131">
        <f>E10+'[2]01'!E14</f>
        <v>0</v>
      </c>
      <c r="D10" s="132">
        <f>E10+'[2]01'!Q14</f>
        <v>0</v>
      </c>
      <c r="E10" s="133">
        <v>0</v>
      </c>
      <c r="F10" s="131"/>
      <c r="G10" s="131">
        <f>H10+'[2]02'!Q14</f>
        <v>0</v>
      </c>
      <c r="H10" s="134"/>
      <c r="I10" s="128"/>
      <c r="J10" s="128">
        <f>J6+J7</f>
        <v>986759913</v>
      </c>
    </row>
    <row r="11" spans="1:10" ht="25.5">
      <c r="A11" s="129" t="s">
        <v>29</v>
      </c>
      <c r="B11" s="139" t="s">
        <v>106</v>
      </c>
      <c r="C11" s="140">
        <v>1</v>
      </c>
      <c r="D11" s="132">
        <v>1</v>
      </c>
      <c r="E11" s="141">
        <v>0</v>
      </c>
      <c r="F11" s="140">
        <v>74511</v>
      </c>
      <c r="G11" s="140">
        <v>74511</v>
      </c>
      <c r="H11" s="142"/>
      <c r="I11" s="128"/>
      <c r="J11" s="128">
        <f>'[2]PLChuaDieuKien'!$H$6+'[2]PLChuaDieuKien'!$H$20+'[2]05'!$T$9</f>
        <v>986759913</v>
      </c>
    </row>
    <row r="12" spans="1:10" ht="15.75">
      <c r="A12" s="129" t="s">
        <v>30</v>
      </c>
      <c r="B12" s="130" t="s">
        <v>107</v>
      </c>
      <c r="C12" s="131">
        <v>578</v>
      </c>
      <c r="D12" s="132">
        <f>454+8</f>
        <v>462</v>
      </c>
      <c r="E12" s="133">
        <f>37+137</f>
        <v>174</v>
      </c>
      <c r="F12" s="140">
        <f>26701958-74511-113853</f>
        <v>26513594</v>
      </c>
      <c r="G12" s="140">
        <f>20174943-74511</f>
        <v>20100432</v>
      </c>
      <c r="H12" s="134">
        <v>6564286</v>
      </c>
      <c r="I12" s="138"/>
      <c r="J12" s="128"/>
    </row>
    <row r="13" spans="1:10" ht="15.75">
      <c r="A13" s="129" t="s">
        <v>31</v>
      </c>
      <c r="B13" s="130" t="s">
        <v>108</v>
      </c>
      <c r="C13" s="131">
        <v>1</v>
      </c>
      <c r="D13" s="132">
        <f>E13+'[2]01'!Q17</f>
        <v>1</v>
      </c>
      <c r="E13" s="133">
        <v>0</v>
      </c>
      <c r="F13" s="140">
        <v>2715</v>
      </c>
      <c r="G13" s="140">
        <f>H13+'[2]02'!Q17</f>
        <v>2715</v>
      </c>
      <c r="H13" s="134"/>
      <c r="I13" s="128"/>
      <c r="J13" s="128"/>
    </row>
    <row r="14" spans="1:9" ht="15.75">
      <c r="A14" s="129" t="s">
        <v>32</v>
      </c>
      <c r="B14" s="130" t="s">
        <v>109</v>
      </c>
      <c r="C14" s="131">
        <v>52</v>
      </c>
      <c r="D14" s="132">
        <f>E14+'[2]01'!Q18</f>
        <v>29</v>
      </c>
      <c r="E14" s="133">
        <v>11</v>
      </c>
      <c r="F14" s="140">
        <v>541438</v>
      </c>
      <c r="G14" s="131">
        <v>217118</v>
      </c>
      <c r="H14" s="134">
        <v>114130</v>
      </c>
      <c r="I14" s="128"/>
    </row>
    <row r="15" spans="1:10" ht="15.75">
      <c r="A15" s="129" t="s">
        <v>33</v>
      </c>
      <c r="B15" s="130" t="s">
        <v>110</v>
      </c>
      <c r="C15" s="131">
        <v>1</v>
      </c>
      <c r="D15" s="132">
        <f>E15+'[2]01'!Q19</f>
        <v>0</v>
      </c>
      <c r="E15" s="133">
        <v>0</v>
      </c>
      <c r="F15" s="131">
        <f>H15+'[2]02'!D19</f>
        <v>17710</v>
      </c>
      <c r="G15" s="131">
        <f>H15+'[2]02'!Q19</f>
        <v>0</v>
      </c>
      <c r="H15" s="134"/>
      <c r="I15" s="138">
        <f>E6+E20</f>
        <v>235</v>
      </c>
      <c r="J15" s="128">
        <f>I15+'04'!E9</f>
        <v>1090</v>
      </c>
    </row>
    <row r="16" spans="1:10" ht="15.75">
      <c r="A16" s="129" t="s">
        <v>34</v>
      </c>
      <c r="B16" s="130" t="s">
        <v>111</v>
      </c>
      <c r="C16" s="131">
        <f>E16+'[2]01'!E20</f>
        <v>0</v>
      </c>
      <c r="D16" s="132">
        <f>E16+'[2]01'!Q20</f>
        <v>0</v>
      </c>
      <c r="E16" s="133">
        <v>0</v>
      </c>
      <c r="F16" s="131">
        <f>H16+'[2]02'!D20</f>
        <v>0</v>
      </c>
      <c r="G16" s="131">
        <f>H16+'[2]02'!Q20</f>
        <v>0</v>
      </c>
      <c r="H16" s="134"/>
      <c r="I16" s="143"/>
      <c r="J16" s="143"/>
    </row>
    <row r="17" spans="1:10" ht="15.75">
      <c r="A17" s="129" t="s">
        <v>35</v>
      </c>
      <c r="B17" s="130" t="s">
        <v>112</v>
      </c>
      <c r="C17" s="131">
        <f>E17+'[2]01'!E21</f>
        <v>0</v>
      </c>
      <c r="D17" s="132">
        <f>E17+'[2]01'!Q21</f>
        <v>0</v>
      </c>
      <c r="E17" s="133">
        <v>0</v>
      </c>
      <c r="F17" s="131">
        <f>H17+'[2]02'!D21</f>
        <v>0</v>
      </c>
      <c r="G17" s="131">
        <f>H17+'[2]02'!Q21</f>
        <v>0</v>
      </c>
      <c r="H17" s="134"/>
      <c r="I17" s="128"/>
      <c r="J17" s="143"/>
    </row>
    <row r="18" spans="1:10" ht="15.75">
      <c r="A18" s="129" t="s">
        <v>36</v>
      </c>
      <c r="B18" s="130" t="s">
        <v>113</v>
      </c>
      <c r="C18" s="131">
        <f>E18+'[2]01'!E22</f>
        <v>0</v>
      </c>
      <c r="D18" s="132">
        <f>E18+'[2]01'!Q22</f>
        <v>0</v>
      </c>
      <c r="E18" s="133">
        <v>0</v>
      </c>
      <c r="F18" s="131">
        <f>H18+'[2]02'!D22</f>
        <v>0</v>
      </c>
      <c r="G18" s="131">
        <f>H18+'[2]02'!Q22</f>
        <v>0</v>
      </c>
      <c r="H18" s="134"/>
      <c r="I18" s="138"/>
      <c r="J18" s="128"/>
    </row>
    <row r="19" spans="1:10" ht="15.75">
      <c r="A19" s="129" t="s">
        <v>37</v>
      </c>
      <c r="B19" s="130" t="s">
        <v>114</v>
      </c>
      <c r="C19" s="131">
        <v>3</v>
      </c>
      <c r="D19" s="132">
        <v>2</v>
      </c>
      <c r="E19" s="133"/>
      <c r="F19" s="131">
        <v>5573014</v>
      </c>
      <c r="G19" s="131">
        <f>H19+'[2]02'!Q23</f>
        <v>5571920</v>
      </c>
      <c r="H19" s="134">
        <v>47858</v>
      </c>
      <c r="I19" s="128"/>
      <c r="J19" s="143"/>
    </row>
    <row r="20" spans="1:10" s="147" customFormat="1" ht="15.75">
      <c r="A20" s="124" t="s">
        <v>52</v>
      </c>
      <c r="B20" s="144" t="s">
        <v>115</v>
      </c>
      <c r="C20" s="126">
        <f aca="true" t="shared" si="1" ref="C20:H20">SUM(C21:C33)</f>
        <v>278</v>
      </c>
      <c r="D20" s="126">
        <f t="shared" si="1"/>
        <v>91</v>
      </c>
      <c r="E20" s="126">
        <f t="shared" si="1"/>
        <v>16</v>
      </c>
      <c r="F20" s="126">
        <f t="shared" si="1"/>
        <v>948934910</v>
      </c>
      <c r="G20" s="126">
        <f t="shared" si="1"/>
        <v>78368467</v>
      </c>
      <c r="H20" s="126">
        <f t="shared" si="1"/>
        <v>18631567</v>
      </c>
      <c r="I20" s="145"/>
      <c r="J20" s="146"/>
    </row>
    <row r="21" spans="1:10" ht="15.75">
      <c r="A21" s="129" t="s">
        <v>25</v>
      </c>
      <c r="B21" s="130" t="s">
        <v>102</v>
      </c>
      <c r="C21" s="131">
        <v>133</v>
      </c>
      <c r="D21" s="132">
        <v>34</v>
      </c>
      <c r="E21" s="148">
        <v>7</v>
      </c>
      <c r="F21" s="131">
        <v>52021586</v>
      </c>
      <c r="G21" s="131">
        <v>30378235</v>
      </c>
      <c r="H21" s="134">
        <v>2596582</v>
      </c>
      <c r="I21" s="128"/>
      <c r="J21" s="128"/>
    </row>
    <row r="22" spans="1:9" ht="15.75">
      <c r="A22" s="129" t="s">
        <v>26</v>
      </c>
      <c r="B22" s="137" t="s">
        <v>103</v>
      </c>
      <c r="C22" s="131">
        <v>44</v>
      </c>
      <c r="D22" s="132">
        <v>11</v>
      </c>
      <c r="E22" s="148">
        <v>4</v>
      </c>
      <c r="F22" s="131">
        <v>885840743</v>
      </c>
      <c r="G22" s="131">
        <f>78333440-34934297</f>
        <v>43399143</v>
      </c>
      <c r="H22" s="134">
        <v>4027723</v>
      </c>
      <c r="I22" s="128"/>
    </row>
    <row r="23" spans="1:10" ht="15.75">
      <c r="A23" s="129" t="s">
        <v>27</v>
      </c>
      <c r="B23" s="137" t="s">
        <v>104</v>
      </c>
      <c r="C23" s="131">
        <v>0</v>
      </c>
      <c r="D23" s="132">
        <v>0</v>
      </c>
      <c r="E23" s="148">
        <v>0</v>
      </c>
      <c r="F23" s="131">
        <v>0</v>
      </c>
      <c r="G23" s="131">
        <v>0</v>
      </c>
      <c r="H23" s="134">
        <v>0</v>
      </c>
      <c r="I23" s="128"/>
      <c r="J23" s="128"/>
    </row>
    <row r="24" spans="1:10" ht="15.75">
      <c r="A24" s="129" t="s">
        <v>28</v>
      </c>
      <c r="B24" s="130" t="s">
        <v>105</v>
      </c>
      <c r="C24" s="131">
        <f>E24+'[2]01'!E28</f>
        <v>0</v>
      </c>
      <c r="D24" s="132">
        <f>E24+'[2]01'!Q28</f>
        <v>0</v>
      </c>
      <c r="E24" s="148">
        <v>0</v>
      </c>
      <c r="F24" s="131">
        <f>H24+'[2]02'!D28</f>
        <v>0</v>
      </c>
      <c r="G24" s="131">
        <f>H24+'[2]02'!Q28</f>
        <v>0</v>
      </c>
      <c r="H24" s="134">
        <v>0</v>
      </c>
      <c r="I24" s="152"/>
      <c r="J24" s="128"/>
    </row>
    <row r="25" spans="1:10" ht="25.5">
      <c r="A25" s="129" t="s">
        <v>29</v>
      </c>
      <c r="B25" s="139" t="s">
        <v>106</v>
      </c>
      <c r="C25" s="131">
        <f>E25+'[2]01'!E29</f>
        <v>0</v>
      </c>
      <c r="D25" s="132">
        <f>E25+'[2]01'!Q29</f>
        <v>0</v>
      </c>
      <c r="E25" s="148">
        <v>0</v>
      </c>
      <c r="F25" s="131">
        <f>H25+'[2]02'!D29</f>
        <v>0</v>
      </c>
      <c r="G25" s="131">
        <f>H25+'[2]02'!Q29</f>
        <v>0</v>
      </c>
      <c r="H25" s="133">
        <v>0</v>
      </c>
      <c r="I25" s="151"/>
      <c r="J25" s="128"/>
    </row>
    <row r="26" spans="1:10" ht="15.75">
      <c r="A26" s="129" t="s">
        <v>30</v>
      </c>
      <c r="B26" s="130" t="s">
        <v>107</v>
      </c>
      <c r="C26" s="131">
        <v>57</v>
      </c>
      <c r="D26" s="132">
        <v>31</v>
      </c>
      <c r="E26" s="148">
        <v>2</v>
      </c>
      <c r="F26" s="131">
        <v>7860944</v>
      </c>
      <c r="G26" s="131">
        <v>4160353</v>
      </c>
      <c r="H26" s="134">
        <f>2231428-488009+10383725-223468</f>
        <v>11903676</v>
      </c>
      <c r="I26" s="128"/>
      <c r="J26" s="128"/>
    </row>
    <row r="27" spans="1:8" ht="15.75">
      <c r="A27" s="129" t="s">
        <v>31</v>
      </c>
      <c r="B27" s="130" t="s">
        <v>108</v>
      </c>
      <c r="C27" s="131">
        <v>1</v>
      </c>
      <c r="D27" s="132">
        <f>E27+'[2]01'!Q31</f>
        <v>0</v>
      </c>
      <c r="E27" s="148"/>
      <c r="F27" s="131">
        <v>482511</v>
      </c>
      <c r="G27" s="131">
        <f>H27+'[2]02'!Q31</f>
        <v>0</v>
      </c>
      <c r="H27" s="134">
        <v>0</v>
      </c>
    </row>
    <row r="28" spans="1:9" ht="15.75">
      <c r="A28" s="129" t="s">
        <v>32</v>
      </c>
      <c r="B28" s="130" t="s">
        <v>109</v>
      </c>
      <c r="C28" s="131">
        <v>41</v>
      </c>
      <c r="D28" s="132">
        <f>E28+'[2]01'!Q32</f>
        <v>14</v>
      </c>
      <c r="E28" s="148">
        <v>2</v>
      </c>
      <c r="F28" s="131">
        <v>1870037</v>
      </c>
      <c r="G28" s="131">
        <v>407150</v>
      </c>
      <c r="H28" s="134">
        <v>80000</v>
      </c>
      <c r="I28" s="128"/>
    </row>
    <row r="29" spans="1:10" ht="15.75">
      <c r="A29" s="129" t="s">
        <v>33</v>
      </c>
      <c r="B29" s="130" t="s">
        <v>110</v>
      </c>
      <c r="C29" s="131">
        <f>E29+'[2]01'!E33</f>
        <v>1</v>
      </c>
      <c r="D29" s="132">
        <f>E29+'[2]01'!Q33</f>
        <v>0</v>
      </c>
      <c r="E29" s="148">
        <v>0</v>
      </c>
      <c r="F29" s="131">
        <v>835503</v>
      </c>
      <c r="G29" s="131">
        <f>H29+'[2]02'!Q33</f>
        <v>0</v>
      </c>
      <c r="H29" s="134">
        <v>0</v>
      </c>
      <c r="I29" s="149"/>
      <c r="J29" s="149"/>
    </row>
    <row r="30" spans="1:10" ht="15.75">
      <c r="A30" s="129" t="s">
        <v>34</v>
      </c>
      <c r="B30" s="130" t="s">
        <v>111</v>
      </c>
      <c r="C30" s="131">
        <f>E30+'[2]01'!E34</f>
        <v>0</v>
      </c>
      <c r="D30" s="132">
        <f>E30+'[2]01'!Q34</f>
        <v>0</v>
      </c>
      <c r="E30" s="148">
        <v>0</v>
      </c>
      <c r="F30" s="131">
        <f>H30+'[2]02'!D34</f>
        <v>0</v>
      </c>
      <c r="G30" s="131">
        <f>H30+'[2]02'!Q34</f>
        <v>0</v>
      </c>
      <c r="H30" s="134">
        <v>0</v>
      </c>
      <c r="I30" s="149"/>
      <c r="J30" s="149"/>
    </row>
    <row r="31" spans="1:10" ht="15.75">
      <c r="A31" s="129" t="s">
        <v>35</v>
      </c>
      <c r="B31" s="130" t="s">
        <v>112</v>
      </c>
      <c r="C31" s="131">
        <f>E31+'[2]01'!E35</f>
        <v>1</v>
      </c>
      <c r="D31" s="132">
        <f>E31+'[2]01'!Q35</f>
        <v>1</v>
      </c>
      <c r="E31" s="148">
        <v>1</v>
      </c>
      <c r="F31" s="131">
        <f>H31+'[2]02'!D35</f>
        <v>23586</v>
      </c>
      <c r="G31" s="131">
        <f>H31+'[2]02'!Q35</f>
        <v>23586</v>
      </c>
      <c r="H31" s="134">
        <v>23586</v>
      </c>
      <c r="I31" s="149"/>
      <c r="J31" s="149"/>
    </row>
    <row r="32" spans="1:10" ht="15.75">
      <c r="A32" s="129" t="s">
        <v>36</v>
      </c>
      <c r="B32" s="130" t="s">
        <v>113</v>
      </c>
      <c r="C32" s="131">
        <f>E32+'[2]01'!E36</f>
        <v>0</v>
      </c>
      <c r="D32" s="132">
        <f>E32+'[2]01'!Q36</f>
        <v>0</v>
      </c>
      <c r="E32" s="148">
        <v>0</v>
      </c>
      <c r="F32" s="131">
        <f>H32+'[2]02'!D36</f>
        <v>0</v>
      </c>
      <c r="G32" s="131">
        <f>H32+'[2]02'!Q36</f>
        <v>0</v>
      </c>
      <c r="H32" s="134">
        <v>0</v>
      </c>
      <c r="I32" s="149"/>
      <c r="J32" s="149"/>
    </row>
    <row r="33" spans="1:10" ht="15.75">
      <c r="A33" s="129" t="s">
        <v>37</v>
      </c>
      <c r="B33" s="130" t="s">
        <v>114</v>
      </c>
      <c r="C33" s="131">
        <f>E33+'[2]01'!E37</f>
        <v>0</v>
      </c>
      <c r="D33" s="132">
        <f>E33+'[2]01'!Q37</f>
        <v>0</v>
      </c>
      <c r="E33" s="148">
        <v>0</v>
      </c>
      <c r="F33" s="131">
        <f>H33+'[2]02'!D37</f>
        <v>0</v>
      </c>
      <c r="G33" s="131">
        <f>H33+'[2]02'!Q37</f>
        <v>0</v>
      </c>
      <c r="H33" s="134">
        <v>0</v>
      </c>
      <c r="I33" s="149"/>
      <c r="J33" s="149"/>
    </row>
    <row r="34" spans="6:8" ht="15.75">
      <c r="F34" s="150"/>
      <c r="G34" s="150"/>
      <c r="H34" s="151"/>
    </row>
  </sheetData>
  <sheetProtection formatCells="0" formatColumns="0" formatRows="0" insertColumns="0" insertRows="0"/>
  <mergeCells count="7">
    <mergeCell ref="A1:H1"/>
    <mergeCell ref="A2:H2"/>
    <mergeCell ref="F3:H3"/>
    <mergeCell ref="A4:A5"/>
    <mergeCell ref="B4:B5"/>
    <mergeCell ref="C4:E4"/>
    <mergeCell ref="F4:H4"/>
  </mergeCells>
  <printOptions/>
  <pageMargins left="0.4" right="0.36" top="0.45" bottom="0.49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2021-11-02T01:51:43Z</dcterms:created>
  <dcterms:modified xsi:type="dcterms:W3CDTF">2021-12-06T02:00:50Z</dcterms:modified>
  <cp:category/>
  <cp:version/>
  <cp:contentType/>
  <cp:contentStatus/>
</cp:coreProperties>
</file>